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autoCompressPictures="0"/>
  <workbookProtection workbookAlgorithmName="SHA-512" workbookHashValue="plh7fvcLCwL5OhvyRMKDImS5P3ciYDcjBWEMmcAEuHdB+4aXWAvXN7I2ckC0FtAirE40vJGTAFdzo+JeJ29NqA==" workbookSaltValue="dC+hdmO340H7nnyO5O1sDw==" workbookSpinCount="100000" lockStructure="1"/>
  <bookViews>
    <workbookView xWindow="28680" yWindow="-120" windowWidth="20376" windowHeight="12816"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4562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5" i="5"/>
  <c r="B6" i="5"/>
  <c r="B7" i="5"/>
  <c r="B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C5"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G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C610" i="5"/>
  <c r="V610" i="5" s="1"/>
  <c r="V606" i="5"/>
  <c r="V604" i="5"/>
  <c r="J604" i="5" s="1"/>
  <c r="T604" i="5" s="1"/>
  <c r="V598" i="5"/>
  <c r="G598" i="5" s="1"/>
  <c r="V594" i="5"/>
  <c r="V590" i="5"/>
  <c r="G590" i="5" s="1"/>
  <c r="V586" i="5"/>
  <c r="V584" i="5"/>
  <c r="V582" i="5"/>
  <c r="V572" i="5"/>
  <c r="J572" i="5" s="1"/>
  <c r="V570" i="5"/>
  <c r="R570" i="5" s="1"/>
  <c r="V568" i="5"/>
  <c r="F568" i="5" s="1"/>
  <c r="V566" i="5"/>
  <c r="V564" i="5"/>
  <c r="V563" i="5"/>
  <c r="I563" i="5" s="1"/>
  <c r="V560" i="5"/>
  <c r="G560" i="5" s="1"/>
  <c r="V559" i="5"/>
  <c r="I559" i="5" s="1"/>
  <c r="V558" i="5"/>
  <c r="R558" i="5" s="1"/>
  <c r="V555" i="5"/>
  <c r="I555" i="5" s="1"/>
  <c r="V552" i="5"/>
  <c r="V551" i="5"/>
  <c r="V550" i="5"/>
  <c r="R550" i="5" s="1"/>
  <c r="V548" i="5"/>
  <c r="R548" i="5" s="1"/>
  <c r="V547" i="5"/>
  <c r="I547" i="5" s="1"/>
  <c r="V546" i="5"/>
  <c r="R546" i="5" s="1"/>
  <c r="V544" i="5"/>
  <c r="V543" i="5"/>
  <c r="V542" i="5"/>
  <c r="V540" i="5"/>
  <c r="V539" i="5"/>
  <c r="V536" i="5"/>
  <c r="J536" i="5" s="1"/>
  <c r="V535" i="5"/>
  <c r="I535" i="5" s="1"/>
  <c r="V532" i="5"/>
  <c r="V531" i="5"/>
  <c r="V530" i="5"/>
  <c r="R530" i="5" s="1"/>
  <c r="V528" i="5"/>
  <c r="H528" i="5" s="1"/>
  <c r="V527" i="5"/>
  <c r="H527" i="5" s="1"/>
  <c r="V526" i="5"/>
  <c r="V523" i="5"/>
  <c r="I523" i="5" s="1"/>
  <c r="V520" i="5"/>
  <c r="V519" i="5"/>
  <c r="I519" i="5" s="1"/>
  <c r="V516" i="5"/>
  <c r="V515" i="5"/>
  <c r="V514" i="5"/>
  <c r="R514" i="5" s="1"/>
  <c r="V512" i="5"/>
  <c r="V511" i="5"/>
  <c r="I511" i="5" s="1"/>
  <c r="V510" i="5"/>
  <c r="V508" i="5"/>
  <c r="V507" i="5"/>
  <c r="V504" i="5"/>
  <c r="J504" i="5" s="1"/>
  <c r="V503" i="5"/>
  <c r="I503" i="5" s="1"/>
  <c r="V500" i="5"/>
  <c r="R500" i="5" s="1"/>
  <c r="V499" i="5"/>
  <c r="V498" i="5"/>
  <c r="R498" i="5" s="1"/>
  <c r="V495" i="5"/>
  <c r="I495" i="5" s="1"/>
  <c r="V494" i="5"/>
  <c r="V492" i="5"/>
  <c r="V491" i="5"/>
  <c r="I491" i="5" s="1"/>
  <c r="V488" i="5"/>
  <c r="J488" i="5" s="1"/>
  <c r="V487" i="5"/>
  <c r="V484" i="5"/>
  <c r="R484" i="5" s="1"/>
  <c r="V483" i="5"/>
  <c r="V482" i="5"/>
  <c r="R482" i="5" s="1"/>
  <c r="V480" i="5"/>
  <c r="H480" i="5" s="1"/>
  <c r="V479" i="5"/>
  <c r="V478" i="5"/>
  <c r="V476" i="5"/>
  <c r="R476" i="5" s="1"/>
  <c r="V471" i="5"/>
  <c r="V470" i="5"/>
  <c r="V468" i="5"/>
  <c r="V464" i="5"/>
  <c r="V461" i="5"/>
  <c r="V459" i="5"/>
  <c r="V457" i="5"/>
  <c r="H457" i="5" s="1"/>
  <c r="V456" i="5"/>
  <c r="V455" i="5"/>
  <c r="V453" i="5"/>
  <c r="V452" i="5"/>
  <c r="V451" i="5"/>
  <c r="V449" i="5"/>
  <c r="V448" i="5"/>
  <c r="V445" i="5"/>
  <c r="F445" i="5" s="1"/>
  <c r="V444" i="5"/>
  <c r="F444" i="5" s="1"/>
  <c r="V441" i="5"/>
  <c r="R441" i="5" s="1"/>
  <c r="V440" i="5"/>
  <c r="R440" i="5" s="1"/>
  <c r="V437" i="5"/>
  <c r="E437" i="5" s="1"/>
  <c r="X437" i="5" s="1"/>
  <c r="V436" i="5"/>
  <c r="V433" i="5"/>
  <c r="R433" i="5" s="1"/>
  <c r="V432" i="5"/>
  <c r="R432" i="5" s="1"/>
  <c r="V429" i="5"/>
  <c r="V428" i="5"/>
  <c r="V425" i="5"/>
  <c r="R425" i="5" s="1"/>
  <c r="V424" i="5"/>
  <c r="R424" i="5" s="1"/>
  <c r="V421" i="5"/>
  <c r="V420" i="5"/>
  <c r="F420" i="5" s="1"/>
  <c r="V417" i="5"/>
  <c r="R417" i="5" s="1"/>
  <c r="V416" i="5"/>
  <c r="R416" i="5" s="1"/>
  <c r="V413" i="5"/>
  <c r="F413" i="5" s="1"/>
  <c r="V412" i="5"/>
  <c r="F412" i="5" s="1"/>
  <c r="V409" i="5"/>
  <c r="V408" i="5"/>
  <c r="R408" i="5" s="1"/>
  <c r="V405" i="5"/>
  <c r="F405" i="5" s="1"/>
  <c r="V404" i="5"/>
  <c r="F404" i="5" s="1"/>
  <c r="V401" i="5"/>
  <c r="V400" i="5"/>
  <c r="R400" i="5" s="1"/>
  <c r="V399" i="5"/>
  <c r="I399" i="5" s="1"/>
  <c r="V397" i="5"/>
  <c r="V396" i="5"/>
  <c r="V393" i="5"/>
  <c r="V392" i="5"/>
  <c r="V389" i="5"/>
  <c r="V388" i="5"/>
  <c r="V387" i="5"/>
  <c r="I387" i="5" s="1"/>
  <c r="V385" i="5"/>
  <c r="V384" i="5"/>
  <c r="V383" i="5"/>
  <c r="V381" i="5"/>
  <c r="V380" i="5"/>
  <c r="V377" i="5"/>
  <c r="E377" i="5" s="1"/>
  <c r="X377" i="5" s="1"/>
  <c r="V376" i="5"/>
  <c r="V373" i="5"/>
  <c r="V372" i="5"/>
  <c r="V371" i="5"/>
  <c r="V369" i="5"/>
  <c r="R369" i="5" s="1"/>
  <c r="V368" i="5"/>
  <c r="H368" i="5" s="1"/>
  <c r="V364" i="5"/>
  <c r="I364" i="5" s="1"/>
  <c r="V363" i="5"/>
  <c r="I363" i="5" s="1"/>
  <c r="V361" i="5"/>
  <c r="V360" i="5"/>
  <c r="V357" i="5"/>
  <c r="V356" i="5"/>
  <c r="V353" i="5"/>
  <c r="V352" i="5"/>
  <c r="V351" i="5"/>
  <c r="V349" i="5"/>
  <c r="V348" i="5"/>
  <c r="V347" i="5"/>
  <c r="V345" i="5"/>
  <c r="V344" i="5"/>
  <c r="I344" i="5" s="1"/>
  <c r="V343" i="5"/>
  <c r="V341" i="5"/>
  <c r="E341" i="5" s="1"/>
  <c r="V338" i="5"/>
  <c r="J338" i="5" s="1"/>
  <c r="V337" i="5"/>
  <c r="V336" i="5"/>
  <c r="R336" i="5" s="1"/>
  <c r="V335" i="5"/>
  <c r="V333" i="5"/>
  <c r="V332" i="5"/>
  <c r="R332" i="5" s="1"/>
  <c r="V331" i="5"/>
  <c r="V329" i="5"/>
  <c r="R329" i="5" s="1"/>
  <c r="V327" i="5"/>
  <c r="V326" i="5"/>
  <c r="V325" i="5"/>
  <c r="F325" i="5" s="1"/>
  <c r="V323" i="5"/>
  <c r="V322" i="5"/>
  <c r="R322" i="5" s="1"/>
  <c r="V321" i="5"/>
  <c r="V319" i="5"/>
  <c r="V318" i="5"/>
  <c r="V317" i="5"/>
  <c r="F317" i="5" s="1"/>
  <c r="V315" i="5"/>
  <c r="V313" i="5"/>
  <c r="R313" i="5" s="1"/>
  <c r="V311" i="5"/>
  <c r="V310" i="5"/>
  <c r="V309" i="5"/>
  <c r="V307" i="5"/>
  <c r="V304" i="5"/>
  <c r="E304" i="5" s="1"/>
  <c r="V302" i="5"/>
  <c r="F302" i="5" s="1"/>
  <c r="V301" i="5"/>
  <c r="V299" i="5"/>
  <c r="V298" i="5"/>
  <c r="V295" i="5"/>
  <c r="V294" i="5"/>
  <c r="V291" i="5"/>
  <c r="F291" i="5" s="1"/>
  <c r="V289" i="5"/>
  <c r="V286" i="5"/>
  <c r="V285" i="5"/>
  <c r="V283" i="5"/>
  <c r="R283" i="5" s="1"/>
  <c r="V282" i="5"/>
  <c r="V278" i="5"/>
  <c r="V275" i="5"/>
  <c r="V274" i="5"/>
  <c r="V273" i="5"/>
  <c r="V271" i="5"/>
  <c r="E271" i="5" s="1"/>
  <c r="X271" i="5" s="1"/>
  <c r="V270" i="5"/>
  <c r="V269" i="5"/>
  <c r="E269" i="5" s="1"/>
  <c r="X269" i="5" s="1"/>
  <c r="V267" i="5"/>
  <c r="V266" i="5"/>
  <c r="V263" i="5"/>
  <c r="R263" i="5" s="1"/>
  <c r="V259" i="5"/>
  <c r="V258" i="5"/>
  <c r="V257" i="5"/>
  <c r="E257" i="5" s="1"/>
  <c r="X257" i="5" s="1"/>
  <c r="V255" i="5"/>
  <c r="R255" i="5" s="1"/>
  <c r="V254" i="5"/>
  <c r="V253" i="5"/>
  <c r="R253" i="5" s="1"/>
  <c r="V250" i="5"/>
  <c r="V249" i="5"/>
  <c r="V247" i="5"/>
  <c r="V246" i="5"/>
  <c r="V245" i="5"/>
  <c r="V242" i="5"/>
  <c r="V241" i="5"/>
  <c r="V238" i="5"/>
  <c r="V237" i="5"/>
  <c r="V235" i="5"/>
  <c r="V234" i="5"/>
  <c r="V233" i="5"/>
  <c r="R233" i="5" s="1"/>
  <c r="V231" i="5"/>
  <c r="H231" i="5" s="1"/>
  <c r="V230" i="5"/>
  <c r="V229" i="5"/>
  <c r="V227" i="5"/>
  <c r="V226" i="5"/>
  <c r="V225" i="5"/>
  <c r="V223" i="5"/>
  <c r="V222" i="5"/>
  <c r="H222" i="5" s="1"/>
  <c r="V221" i="5"/>
  <c r="F221" i="5" s="1"/>
  <c r="V219" i="5"/>
  <c r="R219" i="5" s="1"/>
  <c r="V218" i="5"/>
  <c r="H218" i="5" s="1"/>
  <c r="V217" i="5"/>
  <c r="V214" i="5"/>
  <c r="H214" i="5" s="1"/>
  <c r="V213" i="5"/>
  <c r="E213" i="5" s="1"/>
  <c r="X213" i="5" s="1"/>
  <c r="V210" i="5"/>
  <c r="E210" i="5" s="1"/>
  <c r="X210" i="5" s="1"/>
  <c r="V209" i="5"/>
  <c r="V206" i="5"/>
  <c r="V205" i="5"/>
  <c r="R205" i="5" s="1"/>
  <c r="V203" i="5"/>
  <c r="V202" i="5"/>
  <c r="I202" i="5" s="1"/>
  <c r="V199" i="5"/>
  <c r="V198" i="5"/>
  <c r="V197" i="5"/>
  <c r="V195" i="5"/>
  <c r="V193" i="5"/>
  <c r="V190" i="5"/>
  <c r="E190" i="5" s="1"/>
  <c r="X190" i="5" s="1"/>
  <c r="V187" i="5"/>
  <c r="J187" i="5" s="1"/>
  <c r="V186" i="5"/>
  <c r="I186" i="5" s="1"/>
  <c r="V185" i="5"/>
  <c r="R185" i="5" s="1"/>
  <c r="V183" i="5"/>
  <c r="V182" i="5"/>
  <c r="V181" i="5"/>
  <c r="V179" i="5"/>
  <c r="H179" i="5" s="1"/>
  <c r="V178" i="5"/>
  <c r="V177" i="5"/>
  <c r="V174" i="5"/>
  <c r="I174" i="5" s="1"/>
  <c r="V173" i="5"/>
  <c r="V171" i="5"/>
  <c r="I171" i="5" s="1"/>
  <c r="V170" i="5"/>
  <c r="I170" i="5" s="1"/>
  <c r="V169" i="5"/>
  <c r="V167" i="5"/>
  <c r="J167" i="5" s="1"/>
  <c r="V166" i="5"/>
  <c r="H166" i="5" s="1"/>
  <c r="V165" i="5"/>
  <c r="G165" i="5" s="1"/>
  <c r="V162" i="5"/>
  <c r="I162" i="5" s="1"/>
  <c r="V161" i="5"/>
  <c r="G161" i="5" s="1"/>
  <c r="V159" i="5"/>
  <c r="V158" i="5"/>
  <c r="I158" i="5" s="1"/>
  <c r="V157" i="5"/>
  <c r="R157" i="5" s="1"/>
  <c r="V155" i="5"/>
  <c r="V154" i="5"/>
  <c r="I154" i="5" s="1"/>
  <c r="V153" i="5"/>
  <c r="R153" i="5" s="1"/>
  <c r="V150" i="5"/>
  <c r="E150" i="5" s="1"/>
  <c r="X150" i="5" s="1"/>
  <c r="V149" i="5"/>
  <c r="V147" i="5"/>
  <c r="G147" i="5" s="1"/>
  <c r="V146" i="5"/>
  <c r="V145" i="5"/>
  <c r="F145" i="5" s="1"/>
  <c r="V143" i="5"/>
  <c r="V142" i="5"/>
  <c r="I142" i="5" s="1"/>
  <c r="V141" i="5"/>
  <c r="R141" i="5" s="1"/>
  <c r="V139" i="5"/>
  <c r="V138" i="5"/>
  <c r="I138" i="5" s="1"/>
  <c r="V137" i="5"/>
  <c r="R137" i="5" s="1"/>
  <c r="V135" i="5"/>
  <c r="V134" i="5"/>
  <c r="I134" i="5" s="1"/>
  <c r="V133" i="5"/>
  <c r="V131" i="5"/>
  <c r="V130" i="5"/>
  <c r="I130" i="5" s="1"/>
  <c r="V129" i="5"/>
  <c r="V127" i="5"/>
  <c r="V126" i="5"/>
  <c r="V125" i="5"/>
  <c r="V123" i="5"/>
  <c r="E123" i="5" s="1"/>
  <c r="X123" i="5" s="1"/>
  <c r="V122" i="5"/>
  <c r="I122" i="5" s="1"/>
  <c r="V121" i="5"/>
  <c r="R121" i="5" s="1"/>
  <c r="V119" i="5"/>
  <c r="V118" i="5"/>
  <c r="V117" i="5"/>
  <c r="V114" i="5"/>
  <c r="V113" i="5"/>
  <c r="V111" i="5"/>
  <c r="J111" i="5" s="1"/>
  <c r="V110" i="5"/>
  <c r="I110" i="5" s="1"/>
  <c r="V109" i="5"/>
  <c r="V107" i="5"/>
  <c r="V106" i="5"/>
  <c r="E106" i="5" s="1"/>
  <c r="X106" i="5" s="1"/>
  <c r="V105" i="5"/>
  <c r="V101" i="5"/>
  <c r="G101" i="5" s="1"/>
  <c r="V99" i="5"/>
  <c r="V98" i="5"/>
  <c r="R98" i="5" s="1"/>
  <c r="V97" i="5"/>
  <c r="V96" i="5"/>
  <c r="R96" i="5" s="1"/>
  <c r="V95" i="5"/>
  <c r="V94" i="5"/>
  <c r="E94" i="5" s="1"/>
  <c r="X94" i="5" s="1"/>
  <c r="V93" i="5"/>
  <c r="V92" i="5"/>
  <c r="R92" i="5" s="1"/>
  <c r="V90" i="5"/>
  <c r="H90" i="5" s="1"/>
  <c r="V89" i="5"/>
  <c r="V88" i="5"/>
  <c r="R88" i="5" s="1"/>
  <c r="V86" i="5"/>
  <c r="H86" i="5" s="1"/>
  <c r="V85" i="5"/>
  <c r="R85" i="5" s="1"/>
  <c r="V84" i="5"/>
  <c r="R84" i="5" s="1"/>
  <c r="V83" i="5"/>
  <c r="V82" i="5"/>
  <c r="R82" i="5" s="1"/>
  <c r="V81" i="5"/>
  <c r="R81" i="5" s="1"/>
  <c r="V80" i="5"/>
  <c r="R80" i="5" s="1"/>
  <c r="V79" i="5"/>
  <c r="V78" i="5"/>
  <c r="R78" i="5" s="1"/>
  <c r="V77" i="5"/>
  <c r="V76" i="5"/>
  <c r="R76" i="5" s="1"/>
  <c r="V75" i="5"/>
  <c r="V74" i="5"/>
  <c r="E74" i="5" s="1"/>
  <c r="X74" i="5" s="1"/>
  <c r="V73" i="5"/>
  <c r="V72" i="5"/>
  <c r="R72" i="5" s="1"/>
  <c r="V70" i="5"/>
  <c r="H70" i="5" s="1"/>
  <c r="V69" i="5"/>
  <c r="R69" i="5" s="1"/>
  <c r="V68" i="5"/>
  <c r="R68" i="5" s="1"/>
  <c r="V67" i="5"/>
  <c r="V66" i="5"/>
  <c r="R66" i="5" s="1"/>
  <c r="V65" i="5"/>
  <c r="R65" i="5" s="1"/>
  <c r="V64" i="5"/>
  <c r="R64" i="5" s="1"/>
  <c r="V63" i="5"/>
  <c r="V62" i="5"/>
  <c r="R62" i="5" s="1"/>
  <c r="V61" i="5"/>
  <c r="V60" i="5"/>
  <c r="R60" i="5" s="1"/>
  <c r="V59" i="5"/>
  <c r="H59" i="5" s="1"/>
  <c r="V58" i="5"/>
  <c r="E58" i="5" s="1"/>
  <c r="X58" i="5" s="1"/>
  <c r="V57" i="5"/>
  <c r="V56" i="5"/>
  <c r="R56" i="5" s="1"/>
  <c r="V55" i="5"/>
  <c r="H55" i="5" s="1"/>
  <c r="V54" i="5"/>
  <c r="H54" i="5" s="1"/>
  <c r="V53" i="5"/>
  <c r="R53" i="5" s="1"/>
  <c r="V52" i="5"/>
  <c r="R52" i="5" s="1"/>
  <c r="V51" i="5"/>
  <c r="V50" i="5"/>
  <c r="R50" i="5" s="1"/>
  <c r="V49" i="5"/>
  <c r="R49" i="5" s="1"/>
  <c r="V48" i="5"/>
  <c r="R48" i="5" s="1"/>
  <c r="V47" i="5"/>
  <c r="V46" i="5"/>
  <c r="R46" i="5" s="1"/>
  <c r="V45" i="5"/>
  <c r="R45" i="5" s="1"/>
  <c r="V44" i="5"/>
  <c r="R44" i="5" s="1"/>
  <c r="V42" i="5"/>
  <c r="E42" i="5" s="1"/>
  <c r="X42" i="5" s="1"/>
  <c r="V41" i="5"/>
  <c r="V40" i="5"/>
  <c r="R40" i="5" s="1"/>
  <c r="V39" i="5"/>
  <c r="H39" i="5" s="1"/>
  <c r="V38" i="5"/>
  <c r="H38" i="5" s="1"/>
  <c r="V37" i="5"/>
  <c r="R37" i="5" s="1"/>
  <c r="V36" i="5"/>
  <c r="R36" i="5" s="1"/>
  <c r="V35" i="5"/>
  <c r="V34" i="5"/>
  <c r="R34" i="5" s="1"/>
  <c r="V33" i="5"/>
  <c r="R33" i="5" s="1"/>
  <c r="V32" i="5"/>
  <c r="R32" i="5" s="1"/>
  <c r="V31" i="5"/>
  <c r="V30" i="5"/>
  <c r="I30" i="5" s="1"/>
  <c r="V29" i="5"/>
  <c r="H29" i="5" s="1"/>
  <c r="V28" i="5"/>
  <c r="E28" i="5" s="1"/>
  <c r="V27" i="5"/>
  <c r="V26" i="5"/>
  <c r="I26" i="5" s="1"/>
  <c r="V25" i="5"/>
  <c r="V24" i="5"/>
  <c r="R24" i="5" s="1"/>
  <c r="V23" i="5"/>
  <c r="H23" i="5" s="1"/>
  <c r="V22" i="5"/>
  <c r="I22" i="5" s="1"/>
  <c r="V21" i="5"/>
  <c r="V20" i="5"/>
  <c r="R20" i="5" s="1"/>
  <c r="V19" i="5"/>
  <c r="AB18" i="5"/>
  <c r="V18" i="5"/>
  <c r="I18" i="5" s="1"/>
  <c r="V6" i="5"/>
  <c r="R6" i="5" s="1"/>
  <c r="AB6" i="5"/>
  <c r="V5" i="5"/>
  <c r="H5"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13" i="5"/>
  <c r="S58" i="5"/>
  <c r="S42" i="5"/>
  <c r="S74" i="5"/>
  <c r="S2015" i="5" l="1"/>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E1479" i="5"/>
  <c r="X1479" i="5" s="1"/>
  <c r="T2317" i="5"/>
  <c r="AB2413" i="5"/>
  <c r="S778" i="5"/>
  <c r="S1398" i="5"/>
  <c r="AB1566" i="5"/>
  <c r="AB1594" i="5"/>
  <c r="T1684" i="5"/>
  <c r="T2163" i="5"/>
  <c r="G550"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G166" i="5"/>
  <c r="F271" i="5"/>
  <c r="AB348"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G1230" i="5"/>
  <c r="AB1277" i="5"/>
  <c r="T1352" i="5"/>
  <c r="T1414" i="5"/>
  <c r="S1455" i="5"/>
  <c r="S1762" i="5"/>
  <c r="T1791" i="5"/>
  <c r="AB1806" i="5"/>
  <c r="S1821" i="5"/>
  <c r="S2047" i="5"/>
  <c r="T2131" i="5"/>
  <c r="H322" i="5"/>
  <c r="S633" i="5"/>
  <c r="G809"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I190" i="5"/>
  <c r="I235" i="5"/>
  <c r="G238" i="5"/>
  <c r="G295" i="5"/>
  <c r="AB438" i="5"/>
  <c r="AB459"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H58" i="5"/>
  <c r="G70" i="5"/>
  <c r="R75" i="5"/>
  <c r="AB102" i="5"/>
  <c r="G127" i="5"/>
  <c r="G186" i="5"/>
  <c r="AB242" i="5"/>
  <c r="AB283" i="5"/>
  <c r="AB308" i="5"/>
  <c r="AB426" i="5"/>
  <c r="AB430" i="5"/>
  <c r="AB457" i="5"/>
  <c r="AB485" i="5"/>
  <c r="AB525"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I38" i="5"/>
  <c r="E46" i="5"/>
  <c r="I74" i="5"/>
  <c r="E78" i="5"/>
  <c r="E170" i="5"/>
  <c r="X170" i="5" s="1"/>
  <c r="G198" i="5"/>
  <c r="AB218" i="5"/>
  <c r="AB235" i="5"/>
  <c r="G274" i="5"/>
  <c r="J302" i="5"/>
  <c r="AB368" i="5"/>
  <c r="AB400" i="5"/>
  <c r="E413" i="5"/>
  <c r="X413" i="5" s="1"/>
  <c r="AB442" i="5"/>
  <c r="E491" i="5"/>
  <c r="X491" i="5" s="1"/>
  <c r="AB509" i="5"/>
  <c r="J528" i="5"/>
  <c r="AB536" i="5"/>
  <c r="AB556" i="5"/>
  <c r="AB591"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G95" i="5"/>
  <c r="AB106" i="5"/>
  <c r="G301"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E1681" i="5" s="1"/>
  <c r="X1681" i="5" s="1"/>
  <c r="AB1681" i="5"/>
  <c r="T1715" i="5"/>
  <c r="S1715" i="5"/>
  <c r="R1898" i="5"/>
  <c r="J1898" i="5"/>
  <c r="G1987" i="5"/>
  <c r="F1987" i="5"/>
  <c r="I2005" i="5"/>
  <c r="R2005" i="5"/>
  <c r="S2129" i="5"/>
  <c r="T2129" i="5"/>
  <c r="R2150" i="5"/>
  <c r="H2150" i="5"/>
  <c r="G676" i="5"/>
  <c r="G32" i="5"/>
  <c r="E59" i="5"/>
  <c r="X59" i="5" s="1"/>
  <c r="E134" i="5"/>
  <c r="E235" i="5"/>
  <c r="X235" i="5" s="1"/>
  <c r="V265" i="5"/>
  <c r="R265" i="5" s="1"/>
  <c r="E291" i="5"/>
  <c r="X291" i="5" s="1"/>
  <c r="G480" i="5"/>
  <c r="V556" i="5"/>
  <c r="F556" i="5" s="1"/>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V330" i="5"/>
  <c r="G330" i="5" s="1"/>
  <c r="T895" i="5"/>
  <c r="AB895" i="5"/>
  <c r="S895" i="5"/>
  <c r="AB1863" i="5"/>
  <c r="T1863" i="5"/>
  <c r="S1863" i="5"/>
  <c r="R54" i="5"/>
  <c r="G59" i="5"/>
  <c r="G64" i="5"/>
  <c r="R74" i="5"/>
  <c r="E90" i="5"/>
  <c r="I90" i="5"/>
  <c r="V91" i="5"/>
  <c r="G91" i="5" s="1"/>
  <c r="H123" i="5"/>
  <c r="J123" i="5"/>
  <c r="I123" i="5"/>
  <c r="V189" i="5"/>
  <c r="R189" i="5" s="1"/>
  <c r="AB210" i="5"/>
  <c r="R225" i="5"/>
  <c r="F225" i="5"/>
  <c r="E225" i="5"/>
  <c r="X225" i="5" s="1"/>
  <c r="V243" i="5"/>
  <c r="G243" i="5" s="1"/>
  <c r="F309" i="5"/>
  <c r="E309" i="5"/>
  <c r="F357" i="5"/>
  <c r="E357" i="5"/>
  <c r="G399" i="5"/>
  <c r="V463" i="5"/>
  <c r="R463" i="5" s="1"/>
  <c r="G586" i="5"/>
  <c r="F586" i="5"/>
  <c r="I714" i="5"/>
  <c r="J714" i="5"/>
  <c r="T738" i="5"/>
  <c r="S738" i="5"/>
  <c r="R94" i="5"/>
  <c r="H94" i="5"/>
  <c r="AB170" i="5"/>
  <c r="E452" i="5"/>
  <c r="X452" i="5" s="1"/>
  <c r="H452" i="5"/>
  <c r="F452" i="5"/>
  <c r="S1497" i="5"/>
  <c r="T1497" i="5"/>
  <c r="E26" i="5"/>
  <c r="X26" i="5" s="1"/>
  <c r="I59" i="5"/>
  <c r="E63" i="5"/>
  <c r="X63" i="5" s="1"/>
  <c r="G94" i="5"/>
  <c r="V102" i="5"/>
  <c r="G102" i="5" s="1"/>
  <c r="I126" i="5"/>
  <c r="H126" i="5"/>
  <c r="E126" i="5"/>
  <c r="H147" i="5"/>
  <c r="I147" i="5"/>
  <c r="F147" i="5"/>
  <c r="V207" i="5"/>
  <c r="G207" i="5" s="1"/>
  <c r="R237" i="5"/>
  <c r="F237" i="5"/>
  <c r="E237" i="5"/>
  <c r="X237" i="5" s="1"/>
  <c r="V262" i="5"/>
  <c r="J262" i="5" s="1"/>
  <c r="AB262" i="5"/>
  <c r="AB298" i="5"/>
  <c r="E451" i="5"/>
  <c r="F451" i="5"/>
  <c r="R453" i="5"/>
  <c r="J453" i="5"/>
  <c r="H453" i="5"/>
  <c r="F453" i="5"/>
  <c r="H107" i="5"/>
  <c r="I107" i="5"/>
  <c r="E107" i="5"/>
  <c r="X107" i="5" s="1"/>
  <c r="R125" i="5"/>
  <c r="G125" i="5"/>
  <c r="T1447" i="5"/>
  <c r="AB1447" i="5"/>
  <c r="S1447" i="5"/>
  <c r="V43" i="5"/>
  <c r="F43" i="5" s="1"/>
  <c r="R22" i="5"/>
  <c r="G38" i="5"/>
  <c r="G55" i="5"/>
  <c r="G58" i="5"/>
  <c r="J59" i="5"/>
  <c r="F63" i="5"/>
  <c r="I70" i="5"/>
  <c r="G78" i="5"/>
  <c r="V87" i="5"/>
  <c r="H87" i="5" s="1"/>
  <c r="R90" i="5"/>
  <c r="AB114" i="5"/>
  <c r="R123" i="5"/>
  <c r="G126" i="5"/>
  <c r="H167" i="5"/>
  <c r="R167" i="5"/>
  <c r="H187" i="5"/>
  <c r="E187" i="5"/>
  <c r="X187" i="5" s="1"/>
  <c r="R187" i="5"/>
  <c r="I187" i="5"/>
  <c r="G275" i="5"/>
  <c r="I275" i="5"/>
  <c r="F275" i="5"/>
  <c r="V306" i="5"/>
  <c r="G306" i="5" s="1"/>
  <c r="I361" i="5"/>
  <c r="J361" i="5"/>
  <c r="H361" i="5"/>
  <c r="F361" i="5"/>
  <c r="V391" i="5"/>
  <c r="G391" i="5" s="1"/>
  <c r="G451" i="5"/>
  <c r="I479" i="5"/>
  <c r="H479" i="5"/>
  <c r="E479" i="5"/>
  <c r="X479" i="5" s="1"/>
  <c r="V574" i="5"/>
  <c r="F574" i="5" s="1"/>
  <c r="T641" i="5"/>
  <c r="S641" i="5"/>
  <c r="R59" i="5"/>
  <c r="G63" i="5"/>
  <c r="H111" i="5"/>
  <c r="R111" i="5"/>
  <c r="H171" i="5"/>
  <c r="R171" i="5"/>
  <c r="J171" i="5"/>
  <c r="G171" i="5"/>
  <c r="V194" i="5"/>
  <c r="I194" i="5" s="1"/>
  <c r="V314" i="5"/>
  <c r="G314" i="5" s="1"/>
  <c r="E468" i="5"/>
  <c r="X468" i="5" s="1"/>
  <c r="F468" i="5"/>
  <c r="V562" i="5"/>
  <c r="R562" i="5" s="1"/>
  <c r="I1848" i="5"/>
  <c r="H1848" i="5"/>
  <c r="G107" i="5"/>
  <c r="V115" i="5"/>
  <c r="H115" i="5" s="1"/>
  <c r="AB166" i="5"/>
  <c r="I198" i="5"/>
  <c r="E198" i="5"/>
  <c r="H198" i="5"/>
  <c r="V201" i="5"/>
  <c r="R201" i="5" s="1"/>
  <c r="R245" i="5"/>
  <c r="G245" i="5"/>
  <c r="I461" i="5"/>
  <c r="F461" i="5"/>
  <c r="J552" i="5"/>
  <c r="H552" i="5"/>
  <c r="G48" i="5"/>
  <c r="G74" i="5"/>
  <c r="G86" i="5"/>
  <c r="J107" i="5"/>
  <c r="AB178" i="5"/>
  <c r="V215" i="5"/>
  <c r="G215" i="5" s="1"/>
  <c r="R299" i="5"/>
  <c r="J299" i="5"/>
  <c r="E392" i="5"/>
  <c r="X392" i="5" s="1"/>
  <c r="I392" i="5"/>
  <c r="H392" i="5"/>
  <c r="E62" i="5"/>
  <c r="AB110" i="5"/>
  <c r="R30" i="5"/>
  <c r="G54" i="5"/>
  <c r="G62" i="5"/>
  <c r="V71" i="5"/>
  <c r="H71" i="5" s="1"/>
  <c r="H74" i="5"/>
  <c r="J75" i="5"/>
  <c r="I86" i="5"/>
  <c r="V103" i="5"/>
  <c r="F103" i="5" s="1"/>
  <c r="R107" i="5"/>
  <c r="AB150" i="5"/>
  <c r="AB186" i="5"/>
  <c r="V239" i="5"/>
  <c r="G239" i="5" s="1"/>
  <c r="F372" i="5"/>
  <c r="I372" i="5"/>
  <c r="H372" i="5"/>
  <c r="F392" i="5"/>
  <c r="R401" i="5"/>
  <c r="J401" i="5"/>
  <c r="F455" i="5"/>
  <c r="G455" i="5"/>
  <c r="I507" i="5"/>
  <c r="F507" i="5"/>
  <c r="AB230" i="5"/>
  <c r="AB251" i="5"/>
  <c r="AB267" i="5"/>
  <c r="G271" i="5"/>
  <c r="I376" i="5"/>
  <c r="AB453" i="5"/>
  <c r="AB454" i="5"/>
  <c r="AB472" i="5"/>
  <c r="E527" i="5"/>
  <c r="X527" i="5" s="1"/>
  <c r="I527" i="5"/>
  <c r="I543" i="5"/>
  <c r="E543" i="5"/>
  <c r="X543" i="5" s="1"/>
  <c r="AB560" i="5"/>
  <c r="R584" i="5"/>
  <c r="F584" i="5"/>
  <c r="AB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R851" i="5" s="1"/>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AB275" i="5"/>
  <c r="G304" i="5"/>
  <c r="AB357" i="5"/>
  <c r="AB365" i="5"/>
  <c r="AB434" i="5"/>
  <c r="F498" i="5"/>
  <c r="AB551" i="5"/>
  <c r="F560" i="5"/>
  <c r="V608" i="5"/>
  <c r="G608" i="5" s="1"/>
  <c r="G616" i="5"/>
  <c r="AB696" i="5"/>
  <c r="V696" i="5"/>
  <c r="R696" i="5" s="1"/>
  <c r="T713" i="5"/>
  <c r="S713" i="5"/>
  <c r="T745" i="5"/>
  <c r="S745" i="5"/>
  <c r="V808" i="5"/>
  <c r="G808" i="5" s="1"/>
  <c r="AB808" i="5"/>
  <c r="V872" i="5"/>
  <c r="H872" i="5" s="1"/>
  <c r="AB872" i="5"/>
  <c r="AB882" i="5"/>
  <c r="T882" i="5"/>
  <c r="S882" i="5"/>
  <c r="T950" i="5"/>
  <c r="S950" i="5"/>
  <c r="F975" i="5"/>
  <c r="H975" i="5"/>
  <c r="H1103" i="5"/>
  <c r="G1103" i="5"/>
  <c r="F1103" i="5"/>
  <c r="H134" i="5"/>
  <c r="V175" i="5"/>
  <c r="E175" i="5" s="1"/>
  <c r="X175" i="5" s="1"/>
  <c r="I255" i="5"/>
  <c r="G257" i="5"/>
  <c r="G263" i="5"/>
  <c r="E616" i="5"/>
  <c r="X616" i="5" s="1"/>
  <c r="R616" i="5"/>
  <c r="S639" i="5"/>
  <c r="T649" i="5"/>
  <c r="S649" i="5"/>
  <c r="R685" i="5"/>
  <c r="H685" i="5"/>
  <c r="T733" i="5"/>
  <c r="S733" i="5"/>
  <c r="F768" i="5"/>
  <c r="E768" i="5"/>
  <c r="X768" i="5" s="1"/>
  <c r="F786" i="5"/>
  <c r="E786" i="5"/>
  <c r="X786" i="5" s="1"/>
  <c r="AB836" i="5"/>
  <c r="V836" i="5"/>
  <c r="E836" i="5" s="1"/>
  <c r="X836" i="5" s="1"/>
  <c r="T911" i="5"/>
  <c r="S911" i="5"/>
  <c r="T927" i="5"/>
  <c r="S927" i="5"/>
  <c r="S938" i="5"/>
  <c r="T938" i="5"/>
  <c r="T976" i="5"/>
  <c r="S976" i="5"/>
  <c r="V987" i="5"/>
  <c r="G987" i="5" s="1"/>
  <c r="AB1014" i="5"/>
  <c r="T1014" i="5"/>
  <c r="S1014" i="5"/>
  <c r="H1075" i="5"/>
  <c r="F1075" i="5"/>
  <c r="G1075" i="5"/>
  <c r="G1083" i="5"/>
  <c r="F1083" i="5"/>
  <c r="H1083" i="5"/>
  <c r="G111" i="5"/>
  <c r="G122" i="5"/>
  <c r="H174" i="5"/>
  <c r="AB207" i="5"/>
  <c r="AB215" i="5"/>
  <c r="J263" i="5"/>
  <c r="AB282" i="5"/>
  <c r="G285" i="5"/>
  <c r="G299" i="5"/>
  <c r="E301" i="5"/>
  <c r="AB356" i="5"/>
  <c r="AB451"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AB567" i="5"/>
  <c r="E656" i="5"/>
  <c r="X656" i="5" s="1"/>
  <c r="R656" i="5"/>
  <c r="T690" i="5"/>
  <c r="S690" i="5"/>
  <c r="R796" i="5"/>
  <c r="I796" i="5"/>
  <c r="F796" i="5"/>
  <c r="E796" i="5"/>
  <c r="X796" i="5" s="1"/>
  <c r="AB122" i="5"/>
  <c r="G167" i="5"/>
  <c r="AB174" i="5"/>
  <c r="G179" i="5"/>
  <c r="G190" i="5"/>
  <c r="AB219" i="5"/>
  <c r="G230" i="5"/>
  <c r="AB239" i="5"/>
  <c r="G273" i="5"/>
  <c r="AB278" i="5"/>
  <c r="AB316" i="5"/>
  <c r="G338" i="5"/>
  <c r="H393" i="5"/>
  <c r="AB396" i="5"/>
  <c r="AB404" i="5"/>
  <c r="AB414" i="5"/>
  <c r="AB422" i="5"/>
  <c r="AB458" i="5"/>
  <c r="AB468" i="5"/>
  <c r="J480" i="5"/>
  <c r="F482" i="5"/>
  <c r="F503" i="5"/>
  <c r="V580" i="5"/>
  <c r="G580" i="5" s="1"/>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G1325" i="5" s="1"/>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E720" i="5" s="1"/>
  <c r="X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F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E1680" i="5" s="1"/>
  <c r="X1680" i="5" s="1"/>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R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F2257" i="5" s="1"/>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R2215" i="5" s="1"/>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F249" i="5"/>
  <c r="J29" i="5"/>
  <c r="I37" i="5"/>
  <c r="R39" i="5"/>
  <c r="I53" i="5"/>
  <c r="R55" i="5"/>
  <c r="I69" i="5"/>
  <c r="I85" i="5"/>
  <c r="AB140" i="5"/>
  <c r="V151" i="5"/>
  <c r="AB156" i="5"/>
  <c r="AB160" i="5"/>
  <c r="V163" i="5"/>
  <c r="R179" i="5"/>
  <c r="AB204" i="5"/>
  <c r="AB211" i="5"/>
  <c r="V211" i="5"/>
  <c r="G211" i="5" s="1"/>
  <c r="R231" i="5"/>
  <c r="H267" i="5"/>
  <c r="R267" i="5"/>
  <c r="J267" i="5"/>
  <c r="F267" i="5"/>
  <c r="R289" i="5"/>
  <c r="F289" i="5"/>
  <c r="E289" i="5"/>
  <c r="X289" i="5" s="1"/>
  <c r="H295" i="5"/>
  <c r="F295" i="5"/>
  <c r="E295" i="5"/>
  <c r="X295" i="5" s="1"/>
  <c r="R295" i="5"/>
  <c r="G321" i="5"/>
  <c r="J321" i="5"/>
  <c r="H321" i="5"/>
  <c r="F321" i="5"/>
  <c r="E321" i="5"/>
  <c r="V334" i="5"/>
  <c r="G334" i="5" s="1"/>
  <c r="I347" i="5"/>
  <c r="F347" i="5"/>
  <c r="R360" i="5"/>
  <c r="F360" i="5"/>
  <c r="E404" i="5"/>
  <c r="X404" i="5" s="1"/>
  <c r="R404" i="5"/>
  <c r="I404" i="5"/>
  <c r="I437" i="5"/>
  <c r="R437" i="5"/>
  <c r="J437" i="5"/>
  <c r="H437" i="5"/>
  <c r="E444" i="5"/>
  <c r="X444" i="5" s="1"/>
  <c r="R444" i="5"/>
  <c r="I444" i="5"/>
  <c r="H444" i="5"/>
  <c r="E448" i="5"/>
  <c r="X448" i="5" s="1"/>
  <c r="I448" i="5"/>
  <c r="H448" i="5"/>
  <c r="F448" i="5"/>
  <c r="AB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G68" i="5"/>
  <c r="H78" i="5"/>
  <c r="E82" i="5"/>
  <c r="G84" i="5"/>
  <c r="E98" i="5"/>
  <c r="G113" i="5"/>
  <c r="E142" i="5"/>
  <c r="G158" i="5"/>
  <c r="G177" i="5"/>
  <c r="G206" i="5"/>
  <c r="AB222" i="5"/>
  <c r="G227" i="5"/>
  <c r="G247" i="5"/>
  <c r="AB254" i="5"/>
  <c r="H255" i="5"/>
  <c r="J255" i="5"/>
  <c r="AB258" i="5"/>
  <c r="AB270" i="5"/>
  <c r="V277" i="5"/>
  <c r="G277" i="5" s="1"/>
  <c r="V290" i="5"/>
  <c r="G290" i="5" s="1"/>
  <c r="I295" i="5"/>
  <c r="E317" i="5"/>
  <c r="G329" i="5"/>
  <c r="J329" i="5"/>
  <c r="H329" i="5"/>
  <c r="F329" i="5"/>
  <c r="E329" i="5"/>
  <c r="AB363" i="5"/>
  <c r="I369" i="5"/>
  <c r="J369" i="5"/>
  <c r="H369" i="5"/>
  <c r="F369" i="5"/>
  <c r="E369" i="5"/>
  <c r="I389" i="5"/>
  <c r="R389" i="5"/>
  <c r="J389" i="5"/>
  <c r="H389" i="5"/>
  <c r="F389" i="5"/>
  <c r="E389" i="5"/>
  <c r="X389" i="5" s="1"/>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I341" i="5"/>
  <c r="R341" i="5"/>
  <c r="J341" i="5"/>
  <c r="H341" i="5"/>
  <c r="F341" i="5"/>
  <c r="I397" i="5"/>
  <c r="R397" i="5"/>
  <c r="J397" i="5"/>
  <c r="H397" i="5"/>
  <c r="F397" i="5"/>
  <c r="E397" i="5"/>
  <c r="X397" i="5" s="1"/>
  <c r="V411" i="5"/>
  <c r="G411" i="5" s="1"/>
  <c r="E34" i="5"/>
  <c r="G36" i="5"/>
  <c r="R42" i="5"/>
  <c r="H46" i="5"/>
  <c r="H62" i="5"/>
  <c r="G35" i="5"/>
  <c r="E45" i="5"/>
  <c r="X45" i="5" s="1"/>
  <c r="J47" i="5"/>
  <c r="G50" i="5"/>
  <c r="G51" i="5"/>
  <c r="E55" i="5"/>
  <c r="X55" i="5" s="1"/>
  <c r="I62" i="5"/>
  <c r="J63" i="5"/>
  <c r="G66" i="5"/>
  <c r="G67" i="5"/>
  <c r="I78" i="5"/>
  <c r="J79" i="5"/>
  <c r="G82" i="5"/>
  <c r="G83" i="5"/>
  <c r="I94" i="5"/>
  <c r="J95" i="5"/>
  <c r="G98" i="5"/>
  <c r="G99" i="5"/>
  <c r="AB118" i="5"/>
  <c r="G121" i="5"/>
  <c r="G129" i="5"/>
  <c r="AB130" i="5"/>
  <c r="E138" i="5"/>
  <c r="G139" i="5"/>
  <c r="H142" i="5"/>
  <c r="J147" i="5"/>
  <c r="G155" i="5"/>
  <c r="H158" i="5"/>
  <c r="G159" i="5"/>
  <c r="E179" i="5"/>
  <c r="X179" i="5" s="1"/>
  <c r="AB182" i="5"/>
  <c r="G185" i="5"/>
  <c r="G193" i="5"/>
  <c r="AB194" i="5"/>
  <c r="E202" i="5"/>
  <c r="G203" i="5"/>
  <c r="G231" i="5"/>
  <c r="H235" i="5"/>
  <c r="R235" i="5"/>
  <c r="G249" i="5"/>
  <c r="G253" i="5"/>
  <c r="E263" i="5"/>
  <c r="X263" i="5" s="1"/>
  <c r="G283" i="5"/>
  <c r="V293" i="5"/>
  <c r="G293" i="5" s="1"/>
  <c r="J295" i="5"/>
  <c r="H299" i="5"/>
  <c r="I299" i="5"/>
  <c r="F299" i="5"/>
  <c r="E299" i="5"/>
  <c r="X299" i="5" s="1"/>
  <c r="AB315" i="5"/>
  <c r="G325" i="5"/>
  <c r="R325" i="5"/>
  <c r="J325" i="5"/>
  <c r="H325" i="5"/>
  <c r="AB330" i="5"/>
  <c r="I348" i="5"/>
  <c r="R348" i="5"/>
  <c r="H348" i="5"/>
  <c r="F348" i="5"/>
  <c r="I353" i="5"/>
  <c r="R353" i="5"/>
  <c r="J353" i="5"/>
  <c r="H353" i="5"/>
  <c r="F353" i="5"/>
  <c r="R356" i="5"/>
  <c r="I356" i="5"/>
  <c r="I380" i="5"/>
  <c r="R380" i="5"/>
  <c r="F380" i="5"/>
  <c r="AB395" i="5"/>
  <c r="E400" i="5"/>
  <c r="X400" i="5" s="1"/>
  <c r="H400" i="5"/>
  <c r="F400" i="5"/>
  <c r="I409" i="5"/>
  <c r="J409" i="5"/>
  <c r="H409" i="5"/>
  <c r="F409" i="5"/>
  <c r="E409" i="5"/>
  <c r="X409" i="5" s="1"/>
  <c r="E421" i="5"/>
  <c r="X421" i="5" s="1"/>
  <c r="F428" i="5"/>
  <c r="I445" i="5"/>
  <c r="R445" i="5"/>
  <c r="J445" i="5"/>
  <c r="H445" i="5"/>
  <c r="R516" i="5"/>
  <c r="H516" i="5"/>
  <c r="R532" i="5"/>
  <c r="H532" i="5"/>
  <c r="E660" i="5"/>
  <c r="X660" i="5" s="1"/>
  <c r="R660" i="5"/>
  <c r="F660" i="5"/>
  <c r="AB867" i="5"/>
  <c r="V867" i="5"/>
  <c r="J867" i="5" s="1"/>
  <c r="T1003" i="5"/>
  <c r="S1003" i="5"/>
  <c r="AB1003" i="5"/>
  <c r="H219" i="5"/>
  <c r="I219" i="5"/>
  <c r="E219" i="5"/>
  <c r="X219" i="5" s="1"/>
  <c r="AB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G52" i="5"/>
  <c r="R58" i="5"/>
  <c r="E23" i="5"/>
  <c r="X23" i="5" s="1"/>
  <c r="G24" i="5"/>
  <c r="J25" i="5"/>
  <c r="AB26" i="5"/>
  <c r="G31" i="5"/>
  <c r="G34" i="5"/>
  <c r="E39" i="5"/>
  <c r="X39" i="5" s="1"/>
  <c r="I46" i="5"/>
  <c r="AB22" i="5"/>
  <c r="F23" i="5"/>
  <c r="I24" i="5"/>
  <c r="R25" i="5"/>
  <c r="G30" i="5"/>
  <c r="H34" i="5"/>
  <c r="E38" i="5"/>
  <c r="F39" i="5"/>
  <c r="G40" i="5"/>
  <c r="I45" i="5"/>
  <c r="R47" i="5"/>
  <c r="H50" i="5"/>
  <c r="E54" i="5"/>
  <c r="F55" i="5"/>
  <c r="G56" i="5"/>
  <c r="R63" i="5"/>
  <c r="H66" i="5"/>
  <c r="E70" i="5"/>
  <c r="G72" i="5"/>
  <c r="R79" i="5"/>
  <c r="H82" i="5"/>
  <c r="E86" i="5"/>
  <c r="G88" i="5"/>
  <c r="R95" i="5"/>
  <c r="H98" i="5"/>
  <c r="AB108" i="5"/>
  <c r="E111" i="5"/>
  <c r="X111" i="5" s="1"/>
  <c r="AB124" i="5"/>
  <c r="AB128" i="5"/>
  <c r="E137" i="5"/>
  <c r="X137" i="5" s="1"/>
  <c r="AB146" i="5"/>
  <c r="R147" i="5"/>
  <c r="G154" i="5"/>
  <c r="G157" i="5"/>
  <c r="G162" i="5"/>
  <c r="E166" i="5"/>
  <c r="X166" i="5" s="1"/>
  <c r="E167" i="5"/>
  <c r="X167" i="5" s="1"/>
  <c r="AB172" i="5"/>
  <c r="F179" i="5"/>
  <c r="AB188" i="5"/>
  <c r="AB192" i="5"/>
  <c r="AB206" i="5"/>
  <c r="AB214" i="5"/>
  <c r="AB226" i="5"/>
  <c r="E231" i="5"/>
  <c r="X231" i="5" s="1"/>
  <c r="E253" i="5"/>
  <c r="G258" i="5"/>
  <c r="V261" i="5"/>
  <c r="J261" i="5" s="1"/>
  <c r="F263" i="5"/>
  <c r="G269" i="5"/>
  <c r="H271" i="5"/>
  <c r="J271" i="5"/>
  <c r="I271" i="5"/>
  <c r="R273" i="5"/>
  <c r="F273" i="5"/>
  <c r="E273" i="5"/>
  <c r="X273" i="5" s="1"/>
  <c r="R285" i="5"/>
  <c r="F285" i="5"/>
  <c r="E285" i="5"/>
  <c r="H291" i="5"/>
  <c r="R291" i="5"/>
  <c r="J291" i="5"/>
  <c r="I291" i="5"/>
  <c r="AB294" i="5"/>
  <c r="J304" i="5"/>
  <c r="I304" i="5"/>
  <c r="H304" i="5"/>
  <c r="V305" i="5"/>
  <c r="G305" i="5" s="1"/>
  <c r="E325" i="5"/>
  <c r="AB337" i="5"/>
  <c r="E353" i="5"/>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AB471" i="5"/>
  <c r="AB477" i="5"/>
  <c r="AB529" i="5"/>
  <c r="R606" i="5"/>
  <c r="F606" i="5"/>
  <c r="J642" i="5"/>
  <c r="R642" i="5"/>
  <c r="G642" i="5"/>
  <c r="F642" i="5"/>
  <c r="H844" i="5"/>
  <c r="J844" i="5"/>
  <c r="AB266" i="5"/>
  <c r="V287" i="5"/>
  <c r="G287" i="5" s="1"/>
  <c r="I98" i="5"/>
  <c r="F111" i="5"/>
  <c r="AB134" i="5"/>
  <c r="F137" i="5"/>
  <c r="F141" i="5"/>
  <c r="AB142" i="5"/>
  <c r="E145" i="5"/>
  <c r="X145" i="5" s="1"/>
  <c r="E161" i="5"/>
  <c r="X161" i="5" s="1"/>
  <c r="F167" i="5"/>
  <c r="AB198" i="5"/>
  <c r="F205" i="5"/>
  <c r="F213" i="5"/>
  <c r="F219" i="5"/>
  <c r="F231" i="5"/>
  <c r="F253" i="5"/>
  <c r="E255" i="5"/>
  <c r="X255" i="5" s="1"/>
  <c r="E267" i="5"/>
  <c r="X267" i="5" s="1"/>
  <c r="H283" i="5"/>
  <c r="J283" i="5"/>
  <c r="I283" i="5"/>
  <c r="F283" i="5"/>
  <c r="E283" i="5"/>
  <c r="X283" i="5" s="1"/>
  <c r="AB306" i="5"/>
  <c r="AB323" i="5"/>
  <c r="I345" i="5"/>
  <c r="R345" i="5"/>
  <c r="J345" i="5"/>
  <c r="H345" i="5"/>
  <c r="G347" i="5"/>
  <c r="AB349"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R456" i="5"/>
  <c r="I456" i="5"/>
  <c r="H456" i="5"/>
  <c r="R760" i="5"/>
  <c r="I760" i="5"/>
  <c r="F760" i="5"/>
  <c r="E760" i="5"/>
  <c r="X760" i="5" s="1"/>
  <c r="G317" i="5"/>
  <c r="R317" i="5"/>
  <c r="J317" i="5"/>
  <c r="H317" i="5"/>
  <c r="G23" i="5"/>
  <c r="E33" i="5"/>
  <c r="X33" i="5" s="1"/>
  <c r="I34" i="5"/>
  <c r="G39" i="5"/>
  <c r="E49" i="5"/>
  <c r="X49" i="5" s="1"/>
  <c r="I50" i="5"/>
  <c r="E65" i="5"/>
  <c r="X65" i="5" s="1"/>
  <c r="I66" i="5"/>
  <c r="E81" i="5"/>
  <c r="X81" i="5" s="1"/>
  <c r="I82" i="5"/>
  <c r="G22" i="5"/>
  <c r="I23" i="5"/>
  <c r="I33" i="5"/>
  <c r="I39" i="5"/>
  <c r="G44" i="5"/>
  <c r="I49" i="5"/>
  <c r="I55" i="5"/>
  <c r="F59" i="5"/>
  <c r="G60" i="5"/>
  <c r="I65" i="5"/>
  <c r="F75" i="5"/>
  <c r="G76" i="5"/>
  <c r="I81" i="5"/>
  <c r="G92" i="5"/>
  <c r="I97" i="5"/>
  <c r="F101" i="5"/>
  <c r="F107" i="5"/>
  <c r="E110" i="5"/>
  <c r="X110" i="5" s="1"/>
  <c r="F123" i="5"/>
  <c r="F127" i="5"/>
  <c r="AB138" i="5"/>
  <c r="G145" i="5"/>
  <c r="AB154" i="5"/>
  <c r="AB158" i="5"/>
  <c r="F161" i="5"/>
  <c r="F165" i="5"/>
  <c r="F171" i="5"/>
  <c r="E174" i="5"/>
  <c r="I179" i="5"/>
  <c r="F187" i="5"/>
  <c r="AB202" i="5"/>
  <c r="G219" i="5"/>
  <c r="AB223" i="5"/>
  <c r="I231" i="5"/>
  <c r="E233" i="5"/>
  <c r="G235" i="5"/>
  <c r="AB238" i="5"/>
  <c r="E245" i="5"/>
  <c r="X245" i="5" s="1"/>
  <c r="AB246" i="5"/>
  <c r="F255" i="5"/>
  <c r="R257" i="5"/>
  <c r="F257" i="5"/>
  <c r="AB259" i="5"/>
  <c r="G267" i="5"/>
  <c r="AB274" i="5"/>
  <c r="H275" i="5"/>
  <c r="E275" i="5"/>
  <c r="X275" i="5" s="1"/>
  <c r="R275" i="5"/>
  <c r="J275" i="5"/>
  <c r="G313" i="5"/>
  <c r="J313" i="5"/>
  <c r="H313" i="5"/>
  <c r="F313" i="5"/>
  <c r="E313" i="5"/>
  <c r="R333" i="5"/>
  <c r="J333" i="5"/>
  <c r="H333" i="5"/>
  <c r="E333" i="5"/>
  <c r="E345" i="5"/>
  <c r="I357" i="5"/>
  <c r="R357" i="5"/>
  <c r="J357" i="5"/>
  <c r="H357" i="5"/>
  <c r="R364" i="5"/>
  <c r="R368" i="5"/>
  <c r="F368" i="5"/>
  <c r="E396" i="5"/>
  <c r="X396" i="5" s="1"/>
  <c r="R396" i="5"/>
  <c r="I396" i="5"/>
  <c r="H396" i="5"/>
  <c r="F396" i="5"/>
  <c r="I417" i="5"/>
  <c r="J417" i="5"/>
  <c r="H417" i="5"/>
  <c r="F417" i="5"/>
  <c r="E417" i="5"/>
  <c r="X417" i="5" s="1"/>
  <c r="E429" i="5"/>
  <c r="X429" i="5" s="1"/>
  <c r="F436" i="5"/>
  <c r="F456"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J23" i="5"/>
  <c r="AB32" i="5"/>
  <c r="E37" i="5"/>
  <c r="J39" i="5"/>
  <c r="E53" i="5"/>
  <c r="X53" i="5" s="1"/>
  <c r="J55" i="5"/>
  <c r="E69" i="5"/>
  <c r="X69" i="5" s="1"/>
  <c r="E85" i="5"/>
  <c r="X85" i="5" s="1"/>
  <c r="G90" i="5"/>
  <c r="E95" i="5"/>
  <c r="X95" i="5" s="1"/>
  <c r="R101" i="5"/>
  <c r="H110" i="5"/>
  <c r="I111" i="5"/>
  <c r="R145" i="5"/>
  <c r="E147" i="5"/>
  <c r="X147" i="5" s="1"/>
  <c r="G153" i="5"/>
  <c r="AB162" i="5"/>
  <c r="R165" i="5"/>
  <c r="I167" i="5"/>
  <c r="I175" i="5"/>
  <c r="J179" i="5"/>
  <c r="J219" i="5"/>
  <c r="G223" i="5"/>
  <c r="AB227" i="5"/>
  <c r="J231" i="5"/>
  <c r="F233" i="5"/>
  <c r="F245" i="5"/>
  <c r="AB247" i="5"/>
  <c r="V251" i="5"/>
  <c r="G255" i="5"/>
  <c r="H263" i="5"/>
  <c r="I263" i="5"/>
  <c r="I267" i="5"/>
  <c r="R269" i="5"/>
  <c r="F269" i="5"/>
  <c r="G289" i="5"/>
  <c r="V297" i="5"/>
  <c r="G297" i="5" s="1"/>
  <c r="G309" i="5"/>
  <c r="R309" i="5"/>
  <c r="J309" i="5"/>
  <c r="H309" i="5"/>
  <c r="AB314" i="5"/>
  <c r="R321" i="5"/>
  <c r="AB331"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J508" i="5"/>
  <c r="G508" i="5"/>
  <c r="J540" i="5"/>
  <c r="G540" i="5"/>
  <c r="R544" i="5"/>
  <c r="J544" i="5"/>
  <c r="H544" i="5"/>
  <c r="E564" i="5"/>
  <c r="X564" i="5" s="1"/>
  <c r="F564" i="5"/>
  <c r="R564" i="5"/>
  <c r="AB611" i="5"/>
  <c r="AB623" i="5"/>
  <c r="S623" i="5"/>
  <c r="T655" i="5"/>
  <c r="S655" i="5"/>
  <c r="I666" i="5"/>
  <c r="R666" i="5"/>
  <c r="J666" i="5"/>
  <c r="F666" i="5"/>
  <c r="E666" i="5"/>
  <c r="X666" i="5" s="1"/>
  <c r="G699" i="5"/>
  <c r="S704" i="5"/>
  <c r="AB704" i="5"/>
  <c r="T704" i="5"/>
  <c r="V717" i="5"/>
  <c r="G717" i="5" s="1"/>
  <c r="I734" i="5"/>
  <c r="J734" i="5"/>
  <c r="F734" i="5"/>
  <c r="E734" i="5"/>
  <c r="X734" i="5" s="1"/>
  <c r="AB752" i="5"/>
  <c r="V752" i="5"/>
  <c r="R752" i="5" s="1"/>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G365" i="5" s="1"/>
  <c r="V379" i="5"/>
  <c r="R379" i="5" s="1"/>
  <c r="AB388" i="5"/>
  <c r="R392" i="5"/>
  <c r="R393" i="5"/>
  <c r="V407" i="5"/>
  <c r="R407" i="5" s="1"/>
  <c r="V415" i="5"/>
  <c r="J415" i="5" s="1"/>
  <c r="AB417" i="5"/>
  <c r="V423" i="5"/>
  <c r="H423" i="5" s="1"/>
  <c r="AB425" i="5"/>
  <c r="V431" i="5"/>
  <c r="G431" i="5" s="1"/>
  <c r="AB433" i="5"/>
  <c r="V439" i="5"/>
  <c r="G439" i="5" s="1"/>
  <c r="AB441" i="5"/>
  <c r="V447" i="5"/>
  <c r="G447" i="5" s="1"/>
  <c r="AB449" i="5"/>
  <c r="I451" i="5"/>
  <c r="I452" i="5"/>
  <c r="R461" i="5"/>
  <c r="E461" i="5"/>
  <c r="X461" i="5" s="1"/>
  <c r="V472" i="5"/>
  <c r="I472" i="5" s="1"/>
  <c r="AB489" i="5"/>
  <c r="AB501" i="5"/>
  <c r="AB505" i="5"/>
  <c r="AB513" i="5"/>
  <c r="AB521" i="5"/>
  <c r="AB537" i="5"/>
  <c r="H543" i="5"/>
  <c r="E547" i="5"/>
  <c r="X547" i="5" s="1"/>
  <c r="R556" i="5"/>
  <c r="J556" i="5"/>
  <c r="H563" i="5"/>
  <c r="F563" i="5"/>
  <c r="E563" i="5"/>
  <c r="X563" i="5" s="1"/>
  <c r="AB57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E507" i="5"/>
  <c r="X507" i="5" s="1"/>
  <c r="H539" i="5"/>
  <c r="E539" i="5"/>
  <c r="X539" i="5" s="1"/>
  <c r="H547" i="5"/>
  <c r="I551" i="5"/>
  <c r="H551" i="5"/>
  <c r="F551" i="5"/>
  <c r="E551" i="5"/>
  <c r="X551" i="5" s="1"/>
  <c r="E552" i="5"/>
  <c r="X552" i="5" s="1"/>
  <c r="G552" i="5"/>
  <c r="F552" i="5"/>
  <c r="R552"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I453" i="5"/>
  <c r="E453" i="5"/>
  <c r="X453" i="5" s="1"/>
  <c r="H512" i="5"/>
  <c r="R512" i="5"/>
  <c r="F512" i="5"/>
  <c r="V524" i="5"/>
  <c r="G524" i="5" s="1"/>
  <c r="R598" i="5"/>
  <c r="F598"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J322" i="5"/>
  <c r="AB371" i="5"/>
  <c r="R372" i="5"/>
  <c r="AB387" i="5"/>
  <c r="AB391" i="5"/>
  <c r="AB392" i="5"/>
  <c r="AB399" i="5"/>
  <c r="AB460" i="5"/>
  <c r="AB462" i="5"/>
  <c r="G476" i="5"/>
  <c r="R504" i="5"/>
  <c r="G512" i="5"/>
  <c r="J520" i="5"/>
  <c r="R520" i="5"/>
  <c r="AB533" i="5"/>
  <c r="R536" i="5"/>
  <c r="AB547" i="5"/>
  <c r="AB555" i="5"/>
  <c r="G566" i="5"/>
  <c r="G568" i="5"/>
  <c r="G572" i="5"/>
  <c r="V576" i="5"/>
  <c r="I576" i="5" s="1"/>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287" i="5"/>
  <c r="H302" i="5"/>
  <c r="AB309" i="5"/>
  <c r="AB317" i="5"/>
  <c r="AB325" i="5"/>
  <c r="AB335" i="5"/>
  <c r="E361" i="5"/>
  <c r="X361" i="5" s="1"/>
  <c r="E393" i="5"/>
  <c r="X393" i="5" s="1"/>
  <c r="AB413" i="5"/>
  <c r="AB421" i="5"/>
  <c r="AB429" i="5"/>
  <c r="AB437" i="5"/>
  <c r="AB445" i="5"/>
  <c r="E455" i="5"/>
  <c r="X455" i="5" s="1"/>
  <c r="I455" i="5"/>
  <c r="AB463" i="5"/>
  <c r="H491" i="5"/>
  <c r="F491" i="5"/>
  <c r="H495" i="5"/>
  <c r="E495" i="5"/>
  <c r="X495" i="5" s="1"/>
  <c r="V496" i="5"/>
  <c r="G496" i="5" s="1"/>
  <c r="AB504" i="5"/>
  <c r="H508" i="5"/>
  <c r="J512" i="5"/>
  <c r="H540" i="5"/>
  <c r="F544" i="5"/>
  <c r="AB559" i="5"/>
  <c r="G564" i="5"/>
  <c r="R614" i="5"/>
  <c r="G614" i="5"/>
  <c r="AB619" i="5"/>
  <c r="T619" i="5"/>
  <c r="S619" i="5"/>
  <c r="E624" i="5"/>
  <c r="X624" i="5" s="1"/>
  <c r="F624" i="5"/>
  <c r="R624" i="5"/>
  <c r="J624" i="5"/>
  <c r="V634" i="5"/>
  <c r="G634" i="5" s="1"/>
  <c r="R692" i="5"/>
  <c r="J692" i="5"/>
  <c r="I692" i="5"/>
  <c r="E692" i="5"/>
  <c r="X692" i="5" s="1"/>
  <c r="J708" i="5"/>
  <c r="I708" i="5"/>
  <c r="J716" i="5"/>
  <c r="I716" i="5"/>
  <c r="F716" i="5"/>
  <c r="F720" i="5"/>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H662" i="5" s="1"/>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R766" i="5" s="1"/>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I1007" i="5" s="1"/>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F616" i="5"/>
  <c r="AB625" i="5"/>
  <c r="T631" i="5"/>
  <c r="AB637" i="5"/>
  <c r="T647" i="5"/>
  <c r="AB653" i="5"/>
  <c r="AB657" i="5"/>
  <c r="G660" i="5"/>
  <c r="S663" i="5"/>
  <c r="I676" i="5"/>
  <c r="G689" i="5"/>
  <c r="S695" i="5"/>
  <c r="G697" i="5"/>
  <c r="H700" i="5"/>
  <c r="G701" i="5"/>
  <c r="AB709" i="5"/>
  <c r="V710" i="5"/>
  <c r="J710" i="5" s="1"/>
  <c r="AB717" i="5"/>
  <c r="V718" i="5"/>
  <c r="H718" i="5" s="1"/>
  <c r="G723" i="5"/>
  <c r="G727" i="5"/>
  <c r="G735" i="5"/>
  <c r="G741" i="5"/>
  <c r="V746" i="5"/>
  <c r="F746" i="5" s="1"/>
  <c r="I748" i="5"/>
  <c r="E756" i="5"/>
  <c r="X756" i="5" s="1"/>
  <c r="F758" i="5"/>
  <c r="V762" i="5"/>
  <c r="G762" i="5" s="1"/>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R750" i="5" s="1"/>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E883" i="5" s="1"/>
  <c r="X883" i="5" s="1"/>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T990" i="5"/>
  <c r="J991" i="5"/>
  <c r="AB995" i="5"/>
  <c r="H1011" i="5"/>
  <c r="S1015" i="5"/>
  <c r="AB1019" i="5"/>
  <c r="H1031" i="5"/>
  <c r="S1035" i="5"/>
  <c r="V1039" i="5"/>
  <c r="G1039" i="5" s="1"/>
  <c r="G1047" i="5"/>
  <c r="S1048" i="5"/>
  <c r="T1050" i="5"/>
  <c r="S1055" i="5"/>
  <c r="S1060" i="5"/>
  <c r="AB1062" i="5"/>
  <c r="S1066" i="5"/>
  <c r="T1080" i="5"/>
  <c r="S1080" i="5"/>
  <c r="S1083" i="5"/>
  <c r="S1088" i="5"/>
  <c r="F1102" i="5"/>
  <c r="V1110" i="5"/>
  <c r="F1110" i="5" s="1"/>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I1204" i="5" s="1"/>
  <c r="AB1204" i="5"/>
  <c r="T1229" i="5"/>
  <c r="S1229" i="5"/>
  <c r="AB1229" i="5"/>
  <c r="V1289" i="5"/>
  <c r="H1289" i="5" s="1"/>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R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H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H1285" i="5" s="1"/>
  <c r="AB1289" i="5"/>
  <c r="G1301" i="5"/>
  <c r="S1302" i="5"/>
  <c r="T1313" i="5"/>
  <c r="AB1316" i="5"/>
  <c r="V1317" i="5"/>
  <c r="G1317" i="5" s="1"/>
  <c r="AB1321" i="5"/>
  <c r="G1333" i="5"/>
  <c r="S1334" i="5"/>
  <c r="G1336" i="5"/>
  <c r="G1349" i="5"/>
  <c r="S1382" i="5"/>
  <c r="AB1390" i="5"/>
  <c r="G1397" i="5"/>
  <c r="AB1405" i="5"/>
  <c r="G1414" i="5"/>
  <c r="V1430" i="5"/>
  <c r="V1438" i="5"/>
  <c r="E1438" i="5" s="1"/>
  <c r="X1438" i="5" s="1"/>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T1332" i="5"/>
  <c r="S1339" i="5"/>
  <c r="AB1360" i="5"/>
  <c r="F1371" i="5"/>
  <c r="F1380" i="5"/>
  <c r="G1410" i="5"/>
  <c r="G1423" i="5"/>
  <c r="F1450" i="5"/>
  <c r="E1451" i="5"/>
  <c r="X1451" i="5" s="1"/>
  <c r="G1467" i="5"/>
  <c r="I1468" i="5"/>
  <c r="AB1481" i="5"/>
  <c r="S1481" i="5"/>
  <c r="T1485" i="5"/>
  <c r="T1489" i="5"/>
  <c r="H1491" i="5"/>
  <c r="S1499" i="5"/>
  <c r="V1508" i="5"/>
  <c r="H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R1713" i="5" s="1"/>
  <c r="T1786" i="5"/>
  <c r="AB1786" i="5"/>
  <c r="S1786" i="5"/>
  <c r="E1816" i="5"/>
  <c r="X1816" i="5" s="1"/>
  <c r="J1816" i="5"/>
  <c r="R1893" i="5"/>
  <c r="F1893" i="5"/>
  <c r="E1893" i="5"/>
  <c r="X1893" i="5" s="1"/>
  <c r="J1893" i="5"/>
  <c r="I1893" i="5"/>
  <c r="AB1232" i="5"/>
  <c r="AB1248" i="5"/>
  <c r="S1267" i="5"/>
  <c r="S1286" i="5"/>
  <c r="S1299"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H1633" i="5"/>
  <c r="T1647" i="5"/>
  <c r="S1647" i="5"/>
  <c r="E1649" i="5"/>
  <c r="X1649" i="5" s="1"/>
  <c r="I1649" i="5"/>
  <c r="H1649" i="5"/>
  <c r="F1649" i="5"/>
  <c r="AB1684" i="5"/>
  <c r="V1684" i="5"/>
  <c r="F1684" i="5" s="1"/>
  <c r="AB1708" i="5"/>
  <c r="V1708" i="5"/>
  <c r="E1708" i="5" s="1"/>
  <c r="X1708" i="5" s="1"/>
  <c r="V1786" i="5"/>
  <c r="G1786" i="5" s="1"/>
  <c r="AB1799" i="5"/>
  <c r="T1799" i="5"/>
  <c r="S1799" i="5"/>
  <c r="I1843" i="5"/>
  <c r="H1843" i="5"/>
  <c r="R1908" i="5"/>
  <c r="I1908" i="5"/>
  <c r="R1916" i="5"/>
  <c r="I1916" i="5"/>
  <c r="G1218" i="5"/>
  <c r="F1277" i="5"/>
  <c r="S1282" i="5"/>
  <c r="F1309"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F1754" i="5" s="1"/>
  <c r="AB1754" i="5"/>
  <c r="T1790" i="5"/>
  <c r="AB1790" i="5"/>
  <c r="S1790" i="5"/>
  <c r="AB1811" i="5"/>
  <c r="T1811" i="5"/>
  <c r="S1811" i="5"/>
  <c r="G1843" i="5"/>
  <c r="T1872" i="5"/>
  <c r="AB1872" i="5"/>
  <c r="AB1513" i="5"/>
  <c r="AB1537" i="5"/>
  <c r="AB1542" i="5"/>
  <c r="AB1581" i="5"/>
  <c r="AB1613" i="5"/>
  <c r="V1641" i="5"/>
  <c r="G1641" i="5" s="1"/>
  <c r="V1657" i="5"/>
  <c r="G1657" i="5" s="1"/>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H1644" i="5" s="1"/>
  <c r="AB1645" i="5"/>
  <c r="AB1648" i="5"/>
  <c r="S1651" i="5"/>
  <c r="AB1653" i="5"/>
  <c r="AB1656" i="5"/>
  <c r="AB1659" i="5"/>
  <c r="I1661" i="5"/>
  <c r="S1680"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H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R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J2044" i="5" s="1"/>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R2092" i="5" s="1"/>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E2161" i="5" s="1"/>
  <c r="X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F2157" i="5" s="1"/>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61" i="5"/>
  <c r="X2261" i="5" s="1"/>
  <c r="S2270" i="5"/>
  <c r="AB2277" i="5"/>
  <c r="AB2293" i="5"/>
  <c r="V2293" i="5"/>
  <c r="J2293" i="5" s="1"/>
  <c r="S2296" i="5"/>
  <c r="I2303" i="5"/>
  <c r="F2309" i="5"/>
  <c r="V2310" i="5"/>
  <c r="F2310" i="5" s="1"/>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G2173" i="5" s="1"/>
  <c r="AB2184" i="5"/>
  <c r="AB2188" i="5"/>
  <c r="AB2192" i="5"/>
  <c r="G2194" i="5"/>
  <c r="G2202" i="5"/>
  <c r="AB2205" i="5"/>
  <c r="AB2208" i="5"/>
  <c r="G2210" i="5"/>
  <c r="H2218" i="5"/>
  <c r="F2221" i="5"/>
  <c r="V2232" i="5"/>
  <c r="R2232" i="5" s="1"/>
  <c r="AB2240" i="5"/>
  <c r="AB2249"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R2330" i="5" s="1"/>
  <c r="V2334" i="5"/>
  <c r="R2334" i="5" s="1"/>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G2480" i="5" s="1"/>
  <c r="I2484" i="5"/>
  <c r="E2494" i="5"/>
  <c r="H2503" i="5"/>
  <c r="AB2386"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G6" i="5"/>
  <c r="J5" i="5"/>
  <c r="F19" i="6"/>
  <c r="X341" i="5"/>
  <c r="X304" i="5"/>
  <c r="AB23" i="5"/>
  <c r="X28" i="5"/>
  <c r="V112" i="5"/>
  <c r="G112" i="5" s="1"/>
  <c r="AB115" i="5"/>
  <c r="F146" i="5"/>
  <c r="R146" i="5"/>
  <c r="J146" i="5"/>
  <c r="J149" i="5"/>
  <c r="I149" i="5"/>
  <c r="H149" i="5"/>
  <c r="V176" i="5"/>
  <c r="G176" i="5" s="1"/>
  <c r="AB179" i="5"/>
  <c r="AB201" i="5"/>
  <c r="H234" i="5"/>
  <c r="F234" i="5"/>
  <c r="E234" i="5"/>
  <c r="R234" i="5"/>
  <c r="J234" i="5"/>
  <c r="I234" i="5"/>
  <c r="H254" i="5"/>
  <c r="F254" i="5"/>
  <c r="E254" i="5"/>
  <c r="X254" i="5" s="1"/>
  <c r="R254" i="5"/>
  <c r="J254" i="5"/>
  <c r="I254" i="5"/>
  <c r="H286" i="5"/>
  <c r="F286" i="5"/>
  <c r="E286" i="5"/>
  <c r="X286" i="5" s="1"/>
  <c r="R286" i="5"/>
  <c r="J286" i="5"/>
  <c r="I286" i="5"/>
  <c r="AB320" i="5"/>
  <c r="V320" i="5"/>
  <c r="G320" i="5" s="1"/>
  <c r="AB412" i="5"/>
  <c r="AB105" i="5"/>
  <c r="F114" i="5"/>
  <c r="R114" i="5"/>
  <c r="J114" i="5"/>
  <c r="J117" i="5"/>
  <c r="I117" i="5"/>
  <c r="H117" i="5"/>
  <c r="AB137" i="5"/>
  <c r="V144" i="5"/>
  <c r="AB147" i="5"/>
  <c r="AB169" i="5"/>
  <c r="F178" i="5"/>
  <c r="R178" i="5"/>
  <c r="J178" i="5"/>
  <c r="J181" i="5"/>
  <c r="I181" i="5"/>
  <c r="H181" i="5"/>
  <c r="J209" i="5"/>
  <c r="I209" i="5"/>
  <c r="H209" i="5"/>
  <c r="G209" i="5"/>
  <c r="AB240" i="5"/>
  <c r="H270" i="5"/>
  <c r="F270" i="5"/>
  <c r="E270" i="5"/>
  <c r="X270" i="5" s="1"/>
  <c r="R270" i="5"/>
  <c r="J270" i="5"/>
  <c r="I270" i="5"/>
  <c r="R311" i="5"/>
  <c r="H311" i="5"/>
  <c r="I311" i="5"/>
  <c r="F311" i="5"/>
  <c r="E311" i="5"/>
  <c r="J311" i="5"/>
  <c r="R5" i="5"/>
  <c r="H6" i="5"/>
  <c r="I19" i="5"/>
  <c r="E20"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E114" i="5"/>
  <c r="AB117" i="5"/>
  <c r="H122" i="5"/>
  <c r="V124" i="5"/>
  <c r="G124" i="5" s="1"/>
  <c r="E125" i="5"/>
  <c r="X125" i="5" s="1"/>
  <c r="F126" i="5"/>
  <c r="R126" i="5"/>
  <c r="J126" i="5"/>
  <c r="AB127" i="5"/>
  <c r="J129" i="5"/>
  <c r="I129" i="5"/>
  <c r="H129" i="5"/>
  <c r="AB136" i="5"/>
  <c r="E146" i="5"/>
  <c r="AB149" i="5"/>
  <c r="H154" i="5"/>
  <c r="V156" i="5"/>
  <c r="G156" i="5" s="1"/>
  <c r="E157" i="5"/>
  <c r="X157" i="5" s="1"/>
  <c r="F158" i="5"/>
  <c r="R158" i="5"/>
  <c r="J158" i="5"/>
  <c r="AB159" i="5"/>
  <c r="J161" i="5"/>
  <c r="I161" i="5"/>
  <c r="H161" i="5"/>
  <c r="AB168" i="5"/>
  <c r="E178" i="5"/>
  <c r="X178" i="5" s="1"/>
  <c r="AB181" i="5"/>
  <c r="H186" i="5"/>
  <c r="V188" i="5"/>
  <c r="G188" i="5" s="1"/>
  <c r="F190" i="5"/>
  <c r="R190" i="5"/>
  <c r="J190" i="5"/>
  <c r="AB191" i="5"/>
  <c r="J193" i="5"/>
  <c r="I193" i="5"/>
  <c r="H193" i="5"/>
  <c r="AB200" i="5"/>
  <c r="F218" i="5"/>
  <c r="E218" i="5"/>
  <c r="R218" i="5"/>
  <c r="J218" i="5"/>
  <c r="I218" i="5"/>
  <c r="AB220" i="5"/>
  <c r="G234" i="5"/>
  <c r="H238" i="5"/>
  <c r="F238" i="5"/>
  <c r="E238" i="5"/>
  <c r="X238" i="5" s="1"/>
  <c r="R238" i="5"/>
  <c r="J238" i="5"/>
  <c r="I238" i="5"/>
  <c r="AB244" i="5"/>
  <c r="G254" i="5"/>
  <c r="AB260" i="5"/>
  <c r="G270" i="5"/>
  <c r="AB276" i="5"/>
  <c r="G286" i="5"/>
  <c r="AB292" i="5"/>
  <c r="G311" i="5"/>
  <c r="AB5" i="5"/>
  <c r="I6" i="5"/>
  <c r="F18" i="5"/>
  <c r="J18" i="5"/>
  <c r="G20" i="5"/>
  <c r="AB21" i="5"/>
  <c r="F26" i="5"/>
  <c r="J26" i="5"/>
  <c r="G28" i="5"/>
  <c r="AB29" i="5"/>
  <c r="G33" i="5"/>
  <c r="AB35" i="5"/>
  <c r="G37" i="5"/>
  <c r="AB39" i="5"/>
  <c r="G41" i="5"/>
  <c r="AB43" i="5"/>
  <c r="G45" i="5"/>
  <c r="AB47" i="5"/>
  <c r="G49" i="5"/>
  <c r="AB51" i="5"/>
  <c r="G53" i="5"/>
  <c r="AB55" i="5"/>
  <c r="G57" i="5"/>
  <c r="AB59" i="5"/>
  <c r="G61" i="5"/>
  <c r="AB63" i="5"/>
  <c r="G65" i="5"/>
  <c r="AB67" i="5"/>
  <c r="G69" i="5"/>
  <c r="AB71" i="5"/>
  <c r="G73" i="5"/>
  <c r="AB75" i="5"/>
  <c r="G77" i="5"/>
  <c r="AB79" i="5"/>
  <c r="G81" i="5"/>
  <c r="AB83" i="5"/>
  <c r="G85" i="5"/>
  <c r="AB87" i="5"/>
  <c r="G89" i="5"/>
  <c r="AB91" i="5"/>
  <c r="G93" i="5"/>
  <c r="AB95" i="5"/>
  <c r="G97" i="5"/>
  <c r="AB99" i="5"/>
  <c r="V104" i="5"/>
  <c r="G104" i="5" s="1"/>
  <c r="F106" i="5"/>
  <c r="R106" i="5"/>
  <c r="J106" i="5"/>
  <c r="AB107" i="5"/>
  <c r="J109" i="5"/>
  <c r="I109" i="5"/>
  <c r="H109" i="5"/>
  <c r="G114" i="5"/>
  <c r="AB116" i="5"/>
  <c r="F125" i="5"/>
  <c r="AB129" i="5"/>
  <c r="V136" i="5"/>
  <c r="G136" i="5" s="1"/>
  <c r="F138" i="5"/>
  <c r="R138" i="5"/>
  <c r="J138" i="5"/>
  <c r="AB139" i="5"/>
  <c r="J141" i="5"/>
  <c r="I141" i="5"/>
  <c r="H141" i="5"/>
  <c r="G146" i="5"/>
  <c r="AB148" i="5"/>
  <c r="F157" i="5"/>
  <c r="AB161" i="5"/>
  <c r="V168" i="5"/>
  <c r="F170" i="5"/>
  <c r="R170" i="5"/>
  <c r="J170" i="5"/>
  <c r="AB171" i="5"/>
  <c r="J173" i="5"/>
  <c r="I173" i="5"/>
  <c r="H173" i="5"/>
  <c r="G178" i="5"/>
  <c r="AB180" i="5"/>
  <c r="AB193" i="5"/>
  <c r="V200" i="5"/>
  <c r="G200" i="5" s="1"/>
  <c r="F202" i="5"/>
  <c r="R202" i="5"/>
  <c r="J202" i="5"/>
  <c r="AB203" i="5"/>
  <c r="J205" i="5"/>
  <c r="I205" i="5"/>
  <c r="H205" i="5"/>
  <c r="AB209" i="5"/>
  <c r="F210" i="5"/>
  <c r="R210" i="5"/>
  <c r="J210" i="5"/>
  <c r="I210" i="5"/>
  <c r="V220" i="5"/>
  <c r="G220" i="5" s="1"/>
  <c r="R221" i="5"/>
  <c r="J221" i="5"/>
  <c r="I221" i="5"/>
  <c r="H221" i="5"/>
  <c r="G221" i="5"/>
  <c r="H242" i="5"/>
  <c r="F242" i="5"/>
  <c r="E242" i="5"/>
  <c r="R242" i="5"/>
  <c r="J242" i="5"/>
  <c r="I242" i="5"/>
  <c r="H258" i="5"/>
  <c r="F258" i="5"/>
  <c r="E258" i="5"/>
  <c r="X258" i="5" s="1"/>
  <c r="R258" i="5"/>
  <c r="J258" i="5"/>
  <c r="I258" i="5"/>
  <c r="H274" i="5"/>
  <c r="F274" i="5"/>
  <c r="E274" i="5"/>
  <c r="X274" i="5" s="1"/>
  <c r="R274" i="5"/>
  <c r="J274" i="5"/>
  <c r="I274" i="5"/>
  <c r="R323" i="5"/>
  <c r="H323" i="5"/>
  <c r="J323" i="5"/>
  <c r="I323" i="5"/>
  <c r="F323" i="5"/>
  <c r="E323" i="5"/>
  <c r="AB360" i="5"/>
  <c r="E371" i="5"/>
  <c r="X371" i="5" s="1"/>
  <c r="R371" i="5"/>
  <c r="J371" i="5"/>
  <c r="H371" i="5"/>
  <c r="I371" i="5"/>
  <c r="F371" i="5"/>
  <c r="E383" i="5"/>
  <c r="R383" i="5"/>
  <c r="J383" i="5"/>
  <c r="T383" i="5" s="1"/>
  <c r="H383" i="5"/>
  <c r="I383" i="5"/>
  <c r="G383" i="5"/>
  <c r="F383" i="5"/>
  <c r="V116" i="5"/>
  <c r="G116" i="5" s="1"/>
  <c r="AB119" i="5"/>
  <c r="V148" i="5"/>
  <c r="G148" i="5" s="1"/>
  <c r="E149" i="5"/>
  <c r="AB151" i="5"/>
  <c r="J153" i="5"/>
  <c r="I153" i="5"/>
  <c r="H153" i="5"/>
  <c r="AB173" i="5"/>
  <c r="H178" i="5"/>
  <c r="V180" i="5"/>
  <c r="G180" i="5" s="1"/>
  <c r="E181" i="5"/>
  <c r="X181" i="5" s="1"/>
  <c r="F182" i="5"/>
  <c r="R182" i="5"/>
  <c r="J182" i="5"/>
  <c r="AB183" i="5"/>
  <c r="J185" i="5"/>
  <c r="I185" i="5"/>
  <c r="H185" i="5"/>
  <c r="AB205" i="5"/>
  <c r="AB212" i="5"/>
  <c r="AB248" i="5"/>
  <c r="AB264" i="5"/>
  <c r="AB280" i="5"/>
  <c r="AB296" i="5"/>
  <c r="R319" i="5"/>
  <c r="H319" i="5"/>
  <c r="I319" i="5"/>
  <c r="F319" i="5"/>
  <c r="E319" i="5"/>
  <c r="J319" i="5"/>
  <c r="AB328" i="5"/>
  <c r="V328" i="5"/>
  <c r="G328" i="5" s="1"/>
  <c r="E351" i="5"/>
  <c r="X351" i="5" s="1"/>
  <c r="R351" i="5"/>
  <c r="J351" i="5"/>
  <c r="H351" i="5"/>
  <c r="I351" i="5"/>
  <c r="F351" i="5"/>
  <c r="AB358" i="5"/>
  <c r="V358" i="5"/>
  <c r="G358" i="5" s="1"/>
  <c r="J28" i="5"/>
  <c r="F28" i="5"/>
  <c r="H20" i="5"/>
  <c r="H114" i="5"/>
  <c r="F118" i="5"/>
  <c r="R118" i="5"/>
  <c r="J118" i="5"/>
  <c r="E5" i="5"/>
  <c r="X5" i="5" s="1"/>
  <c r="G18" i="5"/>
  <c r="I20" i="5"/>
  <c r="J24" i="5"/>
  <c r="F24" i="5"/>
  <c r="G26" i="5"/>
  <c r="I28" i="5"/>
  <c r="J32" i="5"/>
  <c r="F32" i="5"/>
  <c r="J101" i="5"/>
  <c r="I101" i="5"/>
  <c r="H101" i="5"/>
  <c r="G106" i="5"/>
  <c r="I114" i="5"/>
  <c r="F117" i="5"/>
  <c r="E118" i="5"/>
  <c r="AB121" i="5"/>
  <c r="V128" i="5"/>
  <c r="G128" i="5" s="1"/>
  <c r="F130" i="5"/>
  <c r="R130" i="5"/>
  <c r="J130" i="5"/>
  <c r="T130" i="5" s="1"/>
  <c r="AB131" i="5"/>
  <c r="J133" i="5"/>
  <c r="I133" i="5"/>
  <c r="H133" i="5"/>
  <c r="G138" i="5"/>
  <c r="I146" i="5"/>
  <c r="F149" i="5"/>
  <c r="AB153" i="5"/>
  <c r="V160" i="5"/>
  <c r="G160" i="5" s="1"/>
  <c r="F162" i="5"/>
  <c r="R162" i="5"/>
  <c r="J162" i="5"/>
  <c r="AB163" i="5"/>
  <c r="J165" i="5"/>
  <c r="I165" i="5"/>
  <c r="H165" i="5"/>
  <c r="G170" i="5"/>
  <c r="I178" i="5"/>
  <c r="F181" i="5"/>
  <c r="E182" i="5"/>
  <c r="AB185" i="5"/>
  <c r="V192" i="5"/>
  <c r="G192" i="5" s="1"/>
  <c r="AB195" i="5"/>
  <c r="J197" i="5"/>
  <c r="I197" i="5"/>
  <c r="H197" i="5"/>
  <c r="G202" i="5"/>
  <c r="F206" i="5"/>
  <c r="R206" i="5"/>
  <c r="J206" i="5"/>
  <c r="I206" i="5"/>
  <c r="E209" i="5"/>
  <c r="X209" i="5" s="1"/>
  <c r="G210" i="5"/>
  <c r="V212" i="5"/>
  <c r="R213" i="5"/>
  <c r="J213" i="5"/>
  <c r="I213" i="5"/>
  <c r="H213" i="5"/>
  <c r="G213" i="5"/>
  <c r="F222" i="5"/>
  <c r="E222" i="5"/>
  <c r="X222" i="5" s="1"/>
  <c r="R222" i="5"/>
  <c r="J222" i="5"/>
  <c r="I222" i="5"/>
  <c r="AB224" i="5"/>
  <c r="H246" i="5"/>
  <c r="F246" i="5"/>
  <c r="E246" i="5"/>
  <c r="R246" i="5"/>
  <c r="J246" i="5"/>
  <c r="I246" i="5"/>
  <c r="H278" i="5"/>
  <c r="F278" i="5"/>
  <c r="E278" i="5"/>
  <c r="R278" i="5"/>
  <c r="J278" i="5"/>
  <c r="I278" i="5"/>
  <c r="H294" i="5"/>
  <c r="F294" i="5"/>
  <c r="E294" i="5"/>
  <c r="X294" i="5" s="1"/>
  <c r="R294" i="5"/>
  <c r="J294" i="5"/>
  <c r="I294" i="5"/>
  <c r="R307" i="5"/>
  <c r="H307" i="5"/>
  <c r="J307" i="5"/>
  <c r="I307" i="5"/>
  <c r="F307" i="5"/>
  <c r="E307" i="5"/>
  <c r="X307" i="5" s="1"/>
  <c r="G319" i="5"/>
  <c r="AB408" i="5"/>
  <c r="H28" i="5"/>
  <c r="AB109" i="5"/>
  <c r="E117" i="5"/>
  <c r="X117" i="5" s="1"/>
  <c r="J121" i="5"/>
  <c r="I121" i="5"/>
  <c r="H121" i="5"/>
  <c r="AB141" i="5"/>
  <c r="H146" i="5"/>
  <c r="F150" i="5"/>
  <c r="R150" i="5"/>
  <c r="J150" i="5"/>
  <c r="AB19" i="5"/>
  <c r="E21" i="5"/>
  <c r="AB27" i="5"/>
  <c r="E29" i="5"/>
  <c r="X29" i="5" s="1"/>
  <c r="F5" i="5"/>
  <c r="H18" i="5"/>
  <c r="F21" i="5"/>
  <c r="E24" i="5"/>
  <c r="X24" i="5" s="1"/>
  <c r="H26" i="5"/>
  <c r="R28" i="5"/>
  <c r="F29" i="5"/>
  <c r="E32" i="5"/>
  <c r="X32" i="5" s="1"/>
  <c r="AB36" i="5"/>
  <c r="AB40" i="5"/>
  <c r="AB44" i="5"/>
  <c r="AB48" i="5"/>
  <c r="AB52" i="5"/>
  <c r="AB56" i="5"/>
  <c r="AB60" i="5"/>
  <c r="AB64" i="5"/>
  <c r="AB68" i="5"/>
  <c r="AB72" i="5"/>
  <c r="AB76" i="5"/>
  <c r="AB80" i="5"/>
  <c r="AB84" i="5"/>
  <c r="AB88" i="5"/>
  <c r="AB92" i="5"/>
  <c r="AB96" i="5"/>
  <c r="AB100" i="5"/>
  <c r="AB101" i="5"/>
  <c r="H106" i="5"/>
  <c r="V108" i="5"/>
  <c r="G108" i="5" s="1"/>
  <c r="E109" i="5"/>
  <c r="X109" i="5" s="1"/>
  <c r="F110" i="5"/>
  <c r="R110" i="5"/>
  <c r="J110" i="5"/>
  <c r="AB111" i="5"/>
  <c r="J113" i="5"/>
  <c r="I113" i="5"/>
  <c r="H113" i="5"/>
  <c r="G117" i="5"/>
  <c r="G118" i="5"/>
  <c r="AB120" i="5"/>
  <c r="E130" i="5"/>
  <c r="AB133" i="5"/>
  <c r="H138" i="5"/>
  <c r="V140" i="5"/>
  <c r="G140" i="5" s="1"/>
  <c r="E141" i="5"/>
  <c r="X141" i="5" s="1"/>
  <c r="F142" i="5"/>
  <c r="R142" i="5"/>
  <c r="J142" i="5"/>
  <c r="AB143" i="5"/>
  <c r="J145" i="5"/>
  <c r="I145" i="5"/>
  <c r="H145" i="5"/>
  <c r="G149" i="5"/>
  <c r="G150" i="5"/>
  <c r="AB152" i="5"/>
  <c r="E162" i="5"/>
  <c r="AB165" i="5"/>
  <c r="H170" i="5"/>
  <c r="V172" i="5"/>
  <c r="G172" i="5" s="1"/>
  <c r="E173" i="5"/>
  <c r="X173" i="5" s="1"/>
  <c r="F174" i="5"/>
  <c r="R174" i="5"/>
  <c r="J174" i="5"/>
  <c r="AB175" i="5"/>
  <c r="J177" i="5"/>
  <c r="I177" i="5"/>
  <c r="H177" i="5"/>
  <c r="G181" i="5"/>
  <c r="G182" i="5"/>
  <c r="AB184" i="5"/>
  <c r="AB197" i="5"/>
  <c r="H202" i="5"/>
  <c r="V204" i="5"/>
  <c r="G204" i="5" s="1"/>
  <c r="E205" i="5"/>
  <c r="X205" i="5" s="1"/>
  <c r="E206" i="5"/>
  <c r="AB208" i="5"/>
  <c r="F209" i="5"/>
  <c r="H210" i="5"/>
  <c r="G222" i="5"/>
  <c r="AB228" i="5"/>
  <c r="G246" i="5"/>
  <c r="AB252" i="5"/>
  <c r="AB268" i="5"/>
  <c r="G278" i="5"/>
  <c r="AB284" i="5"/>
  <c r="G294" i="5"/>
  <c r="AB300" i="5"/>
  <c r="AB303" i="5"/>
  <c r="AB312" i="5"/>
  <c r="V312" i="5"/>
  <c r="G312" i="5" s="1"/>
  <c r="R331" i="5"/>
  <c r="H331" i="5"/>
  <c r="J331" i="5"/>
  <c r="I331" i="5"/>
  <c r="F331" i="5"/>
  <c r="E331" i="5"/>
  <c r="E384" i="5"/>
  <c r="X384" i="5" s="1"/>
  <c r="J384" i="5"/>
  <c r="R384" i="5"/>
  <c r="I384" i="5"/>
  <c r="H384" i="5"/>
  <c r="F384" i="5"/>
  <c r="AB402" i="5"/>
  <c r="V402" i="5"/>
  <c r="G402" i="5" s="1"/>
  <c r="J20" i="5"/>
  <c r="F20" i="5"/>
  <c r="AB31" i="5"/>
  <c r="G5" i="5"/>
  <c r="F22" i="5"/>
  <c r="J22" i="5"/>
  <c r="AB25" i="5"/>
  <c r="G29"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V100" i="5"/>
  <c r="AB113" i="5"/>
  <c r="R117" i="5"/>
  <c r="V120" i="5"/>
  <c r="G120" i="5" s="1"/>
  <c r="E121" i="5"/>
  <c r="AB123" i="5"/>
  <c r="AB145" i="5"/>
  <c r="R149" i="5"/>
  <c r="H150" i="5"/>
  <c r="V152" i="5"/>
  <c r="E153" i="5"/>
  <c r="X153" i="5" s="1"/>
  <c r="F154" i="5"/>
  <c r="R154" i="5"/>
  <c r="J154" i="5"/>
  <c r="AB155" i="5"/>
  <c r="J157" i="5"/>
  <c r="I157" i="5"/>
  <c r="H157" i="5"/>
  <c r="AB177" i="5"/>
  <c r="R181" i="5"/>
  <c r="H182" i="5"/>
  <c r="V184" i="5"/>
  <c r="G184" i="5" s="1"/>
  <c r="E185" i="5"/>
  <c r="X185" i="5" s="1"/>
  <c r="F186" i="5"/>
  <c r="R186" i="5"/>
  <c r="J186" i="5"/>
  <c r="AB187" i="5"/>
  <c r="V208" i="5"/>
  <c r="R209" i="5"/>
  <c r="F214" i="5"/>
  <c r="E214" i="5"/>
  <c r="R214" i="5"/>
  <c r="J214" i="5"/>
  <c r="I214" i="5"/>
  <c r="AB216" i="5"/>
  <c r="H226" i="5"/>
  <c r="F226" i="5"/>
  <c r="E226" i="5"/>
  <c r="R226" i="5"/>
  <c r="J226" i="5"/>
  <c r="I226" i="5"/>
  <c r="AB232" i="5"/>
  <c r="H250" i="5"/>
  <c r="F250" i="5"/>
  <c r="E250" i="5"/>
  <c r="R250" i="5"/>
  <c r="J250" i="5"/>
  <c r="I250" i="5"/>
  <c r="H266" i="5"/>
  <c r="F266" i="5"/>
  <c r="E266" i="5"/>
  <c r="X266" i="5" s="1"/>
  <c r="R266" i="5"/>
  <c r="J266" i="5"/>
  <c r="I266" i="5"/>
  <c r="H282" i="5"/>
  <c r="F282" i="5"/>
  <c r="E282" i="5"/>
  <c r="R282" i="5"/>
  <c r="J282" i="5"/>
  <c r="I282" i="5"/>
  <c r="H298" i="5"/>
  <c r="F298" i="5"/>
  <c r="E298" i="5"/>
  <c r="X298" i="5" s="1"/>
  <c r="R298" i="5"/>
  <c r="J298" i="5"/>
  <c r="I298" i="5"/>
  <c r="R327" i="5"/>
  <c r="H327" i="5"/>
  <c r="I327" i="5"/>
  <c r="F327" i="5"/>
  <c r="E327" i="5"/>
  <c r="J327" i="5"/>
  <c r="V339" i="5"/>
  <c r="G339" i="5" s="1"/>
  <c r="E352" i="5"/>
  <c r="X352" i="5" s="1"/>
  <c r="J352" i="5"/>
  <c r="R352" i="5"/>
  <c r="I352" i="5"/>
  <c r="H352" i="5"/>
  <c r="F352" i="5"/>
  <c r="AB361" i="5"/>
  <c r="I470" i="5"/>
  <c r="H470" i="5"/>
  <c r="F470" i="5"/>
  <c r="E470" i="5"/>
  <c r="X470" i="5" s="1"/>
  <c r="R470" i="5"/>
  <c r="J470" i="5"/>
  <c r="I494" i="5"/>
  <c r="H494" i="5"/>
  <c r="E494" i="5"/>
  <c r="X494" i="5" s="1"/>
  <c r="R494" i="5"/>
  <c r="J494" i="5"/>
  <c r="G494" i="5"/>
  <c r="F494" i="5"/>
  <c r="F6" i="5"/>
  <c r="J6" i="5"/>
  <c r="G21"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s="1"/>
  <c r="H72" i="5"/>
  <c r="F72" i="5"/>
  <c r="J73" i="5"/>
  <c r="H73" i="5"/>
  <c r="AB77" i="5"/>
  <c r="J80" i="5"/>
  <c r="H80" i="5"/>
  <c r="F80" i="5"/>
  <c r="J81" i="5"/>
  <c r="H81" i="5"/>
  <c r="AB85" i="5"/>
  <c r="J88" i="5"/>
  <c r="H88" i="5"/>
  <c r="F88" i="5"/>
  <c r="J89" i="5"/>
  <c r="H89" i="5"/>
  <c r="AB93" i="5"/>
  <c r="AB97" i="5"/>
  <c r="H118" i="5"/>
  <c r="F122" i="5"/>
  <c r="R122" i="5"/>
  <c r="J122" i="5"/>
  <c r="J125" i="5"/>
  <c r="I125" i="5"/>
  <c r="H125" i="5"/>
  <c r="I5" i="5"/>
  <c r="E6" i="5"/>
  <c r="R18" i="5"/>
  <c r="F19" i="5"/>
  <c r="I21" i="5"/>
  <c r="E22" i="5"/>
  <c r="R23" i="5"/>
  <c r="H24" i="5"/>
  <c r="R26" i="5"/>
  <c r="F27" i="5"/>
  <c r="I29" i="5"/>
  <c r="E30" i="5"/>
  <c r="X30" i="5" s="1"/>
  <c r="R31" i="5"/>
  <c r="H32" i="5"/>
  <c r="E36" i="5"/>
  <c r="X36" i="5" s="1"/>
  <c r="E40" i="5"/>
  <c r="X40" i="5" s="1"/>
  <c r="E44" i="5"/>
  <c r="E48" i="5"/>
  <c r="E52" i="5"/>
  <c r="X52" i="5" s="1"/>
  <c r="E56" i="5"/>
  <c r="X56" i="5" s="1"/>
  <c r="E60" i="5"/>
  <c r="X60" i="5" s="1"/>
  <c r="E64" i="5"/>
  <c r="X64" i="5" s="1"/>
  <c r="E68" i="5"/>
  <c r="X68" i="5" s="1"/>
  <c r="E72" i="5"/>
  <c r="X72" i="5" s="1"/>
  <c r="E76" i="5"/>
  <c r="E80" i="5"/>
  <c r="X80" i="5" s="1"/>
  <c r="E84" i="5"/>
  <c r="X84" i="5" s="1"/>
  <c r="E88" i="5"/>
  <c r="X88" i="5" s="1"/>
  <c r="E92" i="5"/>
  <c r="E96" i="5"/>
  <c r="E101" i="5"/>
  <c r="X101" i="5" s="1"/>
  <c r="R102" i="5"/>
  <c r="J102" i="5"/>
  <c r="AB103" i="5"/>
  <c r="J105" i="5"/>
  <c r="I105" i="5"/>
  <c r="H105" i="5"/>
  <c r="G109" i="5"/>
  <c r="G110" i="5"/>
  <c r="AB112" i="5"/>
  <c r="I118" i="5"/>
  <c r="F121" i="5"/>
  <c r="E122" i="5"/>
  <c r="AB125" i="5"/>
  <c r="R129" i="5"/>
  <c r="H130" i="5"/>
  <c r="V132" i="5"/>
  <c r="G132" i="5" s="1"/>
  <c r="E133" i="5"/>
  <c r="X133" i="5" s="1"/>
  <c r="F134" i="5"/>
  <c r="R134" i="5"/>
  <c r="J134" i="5"/>
  <c r="AB135" i="5"/>
  <c r="J137" i="5"/>
  <c r="I137" i="5"/>
  <c r="H137" i="5"/>
  <c r="G141" i="5"/>
  <c r="G142" i="5"/>
  <c r="AB144" i="5"/>
  <c r="I150" i="5"/>
  <c r="F153" i="5"/>
  <c r="E154" i="5"/>
  <c r="AB157" i="5"/>
  <c r="R161" i="5"/>
  <c r="H162" i="5"/>
  <c r="V164" i="5"/>
  <c r="E165" i="5"/>
  <c r="F166" i="5"/>
  <c r="R166" i="5"/>
  <c r="J166" i="5"/>
  <c r="AB167" i="5"/>
  <c r="J169" i="5"/>
  <c r="I169" i="5"/>
  <c r="H169" i="5"/>
  <c r="G173" i="5"/>
  <c r="G174" i="5"/>
  <c r="AB176" i="5"/>
  <c r="I182" i="5"/>
  <c r="F185" i="5"/>
  <c r="E186" i="5"/>
  <c r="AB189" i="5"/>
  <c r="R193" i="5"/>
  <c r="V196" i="5"/>
  <c r="E197" i="5"/>
  <c r="X197" i="5" s="1"/>
  <c r="F198" i="5"/>
  <c r="R198" i="5"/>
  <c r="J198" i="5"/>
  <c r="AB199" i="5"/>
  <c r="J201" i="5"/>
  <c r="G205" i="5"/>
  <c r="H206" i="5"/>
  <c r="G214" i="5"/>
  <c r="V216" i="5"/>
  <c r="G216" i="5" s="1"/>
  <c r="R217" i="5"/>
  <c r="J217" i="5"/>
  <c r="I217" i="5"/>
  <c r="H217" i="5"/>
  <c r="G217" i="5"/>
  <c r="E221" i="5"/>
  <c r="G226" i="5"/>
  <c r="H230" i="5"/>
  <c r="F230" i="5"/>
  <c r="E230" i="5"/>
  <c r="R230" i="5"/>
  <c r="J230" i="5"/>
  <c r="I230" i="5"/>
  <c r="AB236" i="5"/>
  <c r="G250" i="5"/>
  <c r="AB256" i="5"/>
  <c r="G266" i="5"/>
  <c r="AB272" i="5"/>
  <c r="G282" i="5"/>
  <c r="AB288" i="5"/>
  <c r="G298" i="5"/>
  <c r="R315" i="5"/>
  <c r="H315" i="5"/>
  <c r="J315" i="5"/>
  <c r="T315" i="5" s="1"/>
  <c r="I315" i="5"/>
  <c r="F315" i="5"/>
  <c r="E315" i="5"/>
  <c r="G327" i="5"/>
  <c r="E335" i="5"/>
  <c r="R335" i="5"/>
  <c r="H335" i="5"/>
  <c r="J335" i="5"/>
  <c r="I335" i="5"/>
  <c r="F335" i="5"/>
  <c r="V359" i="5"/>
  <c r="G359" i="5" s="1"/>
  <c r="G233" i="5"/>
  <c r="I310" i="5"/>
  <c r="F310" i="5"/>
  <c r="I318" i="5"/>
  <c r="F318" i="5"/>
  <c r="I326" i="5"/>
  <c r="F326" i="5"/>
  <c r="E332" i="5"/>
  <c r="X332" i="5" s="1"/>
  <c r="J332" i="5"/>
  <c r="AB336" i="5"/>
  <c r="E343" i="5"/>
  <c r="X343" i="5" s="1"/>
  <c r="R343" i="5"/>
  <c r="J343" i="5"/>
  <c r="H343" i="5"/>
  <c r="E344" i="5"/>
  <c r="X344" i="5" s="1"/>
  <c r="J344" i="5"/>
  <c r="AB350" i="5"/>
  <c r="V350" i="5"/>
  <c r="G350" i="5" s="1"/>
  <c r="I368" i="5"/>
  <c r="AB373" i="5"/>
  <c r="V375" i="5"/>
  <c r="E376" i="5"/>
  <c r="J376" i="5"/>
  <c r="H380" i="5"/>
  <c r="AB382" i="5"/>
  <c r="V382" i="5"/>
  <c r="AB385"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AB213" i="5"/>
  <c r="AB217" i="5"/>
  <c r="AB221" i="5"/>
  <c r="V224" i="5"/>
  <c r="H225" i="5"/>
  <c r="AB225" i="5"/>
  <c r="V228" i="5"/>
  <c r="G228" i="5" s="1"/>
  <c r="H229" i="5"/>
  <c r="AB229" i="5"/>
  <c r="V232" i="5"/>
  <c r="H233" i="5"/>
  <c r="AB233" i="5"/>
  <c r="V236" i="5"/>
  <c r="G236" i="5" s="1"/>
  <c r="H237" i="5"/>
  <c r="AB237" i="5"/>
  <c r="V240" i="5"/>
  <c r="G240" i="5" s="1"/>
  <c r="H241" i="5"/>
  <c r="AB241" i="5"/>
  <c r="V244" i="5"/>
  <c r="G244" i="5" s="1"/>
  <c r="H245" i="5"/>
  <c r="AB245" i="5"/>
  <c r="V248" i="5"/>
  <c r="G248" i="5" s="1"/>
  <c r="H249" i="5"/>
  <c r="AB249" i="5"/>
  <c r="V252" i="5"/>
  <c r="G252" i="5" s="1"/>
  <c r="H253" i="5"/>
  <c r="AB253" i="5"/>
  <c r="V256" i="5"/>
  <c r="H257" i="5"/>
  <c r="AB257" i="5"/>
  <c r="V260" i="5"/>
  <c r="G260" i="5" s="1"/>
  <c r="H261" i="5"/>
  <c r="AB261" i="5"/>
  <c r="V264" i="5"/>
  <c r="AB265" i="5"/>
  <c r="V268" i="5"/>
  <c r="G268" i="5" s="1"/>
  <c r="H269" i="5"/>
  <c r="AB269" i="5"/>
  <c r="V272" i="5"/>
  <c r="G272" i="5" s="1"/>
  <c r="H273" i="5"/>
  <c r="AB273" i="5"/>
  <c r="V276" i="5"/>
  <c r="G276" i="5" s="1"/>
  <c r="AB277" i="5"/>
  <c r="V280" i="5"/>
  <c r="G280" i="5" s="1"/>
  <c r="AB281" i="5"/>
  <c r="V284" i="5"/>
  <c r="G284" i="5" s="1"/>
  <c r="H285" i="5"/>
  <c r="AB285" i="5"/>
  <c r="V288" i="5"/>
  <c r="H289" i="5"/>
  <c r="AB289" i="5"/>
  <c r="V292" i="5"/>
  <c r="G292" i="5" s="1"/>
  <c r="AB293" i="5"/>
  <c r="V296" i="5"/>
  <c r="AB297" i="5"/>
  <c r="V300" i="5"/>
  <c r="G300" i="5" s="1"/>
  <c r="H301" i="5"/>
  <c r="AB301" i="5"/>
  <c r="R302" i="5"/>
  <c r="R304" i="5"/>
  <c r="V308" i="5"/>
  <c r="I309" i="5"/>
  <c r="E310" i="5"/>
  <c r="AB310" i="5"/>
  <c r="V316" i="5"/>
  <c r="I317" i="5"/>
  <c r="E318" i="5"/>
  <c r="AB318" i="5"/>
  <c r="V324" i="5"/>
  <c r="I325" i="5"/>
  <c r="E326" i="5"/>
  <c r="AB326" i="5"/>
  <c r="AB332" i="5"/>
  <c r="G335" i="5"/>
  <c r="G336" i="5"/>
  <c r="I337" i="5"/>
  <c r="G337" i="5"/>
  <c r="AB343" i="5"/>
  <c r="AB353" i="5"/>
  <c r="V355" i="5"/>
  <c r="E356" i="5"/>
  <c r="J356" i="5"/>
  <c r="H360" i="5"/>
  <c r="AB362" i="5"/>
  <c r="V362" i="5"/>
  <c r="G371" i="5"/>
  <c r="AB375" i="5"/>
  <c r="AB389" i="5"/>
  <c r="R459" i="5"/>
  <c r="G459" i="5"/>
  <c r="F459" i="5"/>
  <c r="E459" i="5"/>
  <c r="X459" i="5" s="1"/>
  <c r="J459" i="5"/>
  <c r="I459" i="5"/>
  <c r="H459" i="5"/>
  <c r="I225" i="5"/>
  <c r="I229" i="5"/>
  <c r="I233" i="5"/>
  <c r="I237" i="5"/>
  <c r="I241" i="5"/>
  <c r="I245" i="5"/>
  <c r="I249" i="5"/>
  <c r="I253" i="5"/>
  <c r="I257" i="5"/>
  <c r="I261" i="5"/>
  <c r="I269" i="5"/>
  <c r="I273" i="5"/>
  <c r="I285" i="5"/>
  <c r="I289" i="5"/>
  <c r="I297" i="5"/>
  <c r="I301" i="5"/>
  <c r="AB305" i="5"/>
  <c r="G307" i="5"/>
  <c r="G310" i="5"/>
  <c r="AB313" i="5"/>
  <c r="G315" i="5"/>
  <c r="G318" i="5"/>
  <c r="AB321" i="5"/>
  <c r="G323" i="5"/>
  <c r="G326" i="5"/>
  <c r="AB329" i="5"/>
  <c r="G331" i="5"/>
  <c r="G332" i="5"/>
  <c r="I333" i="5"/>
  <c r="G333" i="5"/>
  <c r="F336" i="5"/>
  <c r="AB342" i="5"/>
  <c r="V342" i="5"/>
  <c r="G351" i="5"/>
  <c r="I360" i="5"/>
  <c r="F363" i="5"/>
  <c r="V367" i="5"/>
  <c r="E368" i="5"/>
  <c r="X368" i="5" s="1"/>
  <c r="J368" i="5"/>
  <c r="AB374" i="5"/>
  <c r="V374" i="5"/>
  <c r="AB386" i="5"/>
  <c r="V386" i="5"/>
  <c r="F387" i="5"/>
  <c r="AB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9" i="5"/>
  <c r="J273" i="5"/>
  <c r="J285" i="5"/>
  <c r="J289" i="5"/>
  <c r="J301" i="5"/>
  <c r="H310" i="5"/>
  <c r="H318" i="5"/>
  <c r="H326" i="5"/>
  <c r="F332" i="5"/>
  <c r="AB333" i="5"/>
  <c r="H336" i="5"/>
  <c r="F343" i="5"/>
  <c r="AB345" i="5"/>
  <c r="E347" i="5"/>
  <c r="R347" i="5"/>
  <c r="J347" i="5"/>
  <c r="H347" i="5"/>
  <c r="E348" i="5"/>
  <c r="X348" i="5" s="1"/>
  <c r="J348" i="5"/>
  <c r="AB354" i="5"/>
  <c r="V354" i="5"/>
  <c r="G354" i="5" s="1"/>
  <c r="G363" i="5"/>
  <c r="F364" i="5"/>
  <c r="AB367" i="5"/>
  <c r="AB377" i="5"/>
  <c r="E379" i="5"/>
  <c r="X379" i="5" s="1"/>
  <c r="E380" i="5"/>
  <c r="X380" i="5" s="1"/>
  <c r="J380" i="5"/>
  <c r="G387" i="5"/>
  <c r="AB390" i="5"/>
  <c r="V390" i="5"/>
  <c r="AB397" i="5"/>
  <c r="R483" i="5"/>
  <c r="J483" i="5"/>
  <c r="I483" i="5"/>
  <c r="H483" i="5"/>
  <c r="F483" i="5"/>
  <c r="E483" i="5"/>
  <c r="I510" i="5"/>
  <c r="H510" i="5"/>
  <c r="E510" i="5"/>
  <c r="X510" i="5" s="1"/>
  <c r="R510" i="5"/>
  <c r="J510" i="5"/>
  <c r="G510" i="5"/>
  <c r="F510" i="5"/>
  <c r="I542" i="5"/>
  <c r="H542" i="5"/>
  <c r="E542" i="5"/>
  <c r="R542" i="5"/>
  <c r="J542" i="5"/>
  <c r="G542" i="5"/>
  <c r="F542" i="5"/>
  <c r="J310" i="5"/>
  <c r="I314" i="5"/>
  <c r="J318" i="5"/>
  <c r="I322" i="5"/>
  <c r="F322" i="5"/>
  <c r="J326" i="5"/>
  <c r="H332" i="5"/>
  <c r="I336" i="5"/>
  <c r="R338" i="5"/>
  <c r="I338" i="5"/>
  <c r="F338" i="5"/>
  <c r="AB338" i="5"/>
  <c r="G343" i="5"/>
  <c r="F344" i="5"/>
  <c r="E360" i="5"/>
  <c r="J360" i="5"/>
  <c r="H364" i="5"/>
  <c r="AB366" i="5"/>
  <c r="V366" i="5"/>
  <c r="AB394" i="5"/>
  <c r="V394" i="5"/>
  <c r="AB401" i="5"/>
  <c r="AB416" i="5"/>
  <c r="R515" i="5"/>
  <c r="J515" i="5"/>
  <c r="I515" i="5"/>
  <c r="H515" i="5"/>
  <c r="F515" i="5"/>
  <c r="E515" i="5"/>
  <c r="X515" i="5" s="1"/>
  <c r="G302" i="5"/>
  <c r="F304" i="5"/>
  <c r="R310" i="5"/>
  <c r="I313" i="5"/>
  <c r="R318" i="5"/>
  <c r="I321" i="5"/>
  <c r="E322" i="5"/>
  <c r="R326" i="5"/>
  <c r="I329" i="5"/>
  <c r="I332" i="5"/>
  <c r="F333" i="5"/>
  <c r="AB334" i="5"/>
  <c r="E338" i="5"/>
  <c r="AB339" i="5"/>
  <c r="V340" i="5"/>
  <c r="G340" i="5" s="1"/>
  <c r="I343" i="5"/>
  <c r="H344" i="5"/>
  <c r="AB346" i="5"/>
  <c r="V346" i="5"/>
  <c r="F356" i="5"/>
  <c r="AB359" i="5"/>
  <c r="AB369" i="5"/>
  <c r="E372" i="5"/>
  <c r="X372" i="5" s="1"/>
  <c r="J372" i="5"/>
  <c r="H376" i="5"/>
  <c r="AB378" i="5"/>
  <c r="V378" i="5"/>
  <c r="AB398" i="5"/>
  <c r="V398" i="5"/>
  <c r="F399" i="5"/>
  <c r="AB405" i="5"/>
  <c r="AB409" i="5"/>
  <c r="E336" i="5"/>
  <c r="J336" i="5"/>
  <c r="R344" i="5"/>
  <c r="AB351" i="5"/>
  <c r="AB352" i="5"/>
  <c r="E363" i="5"/>
  <c r="R363" i="5"/>
  <c r="J363" i="5"/>
  <c r="H363" i="5"/>
  <c r="E364" i="5"/>
  <c r="X364" i="5" s="1"/>
  <c r="J364" i="5"/>
  <c r="AB370" i="5"/>
  <c r="V370" i="5"/>
  <c r="G370" i="5" s="1"/>
  <c r="E387" i="5"/>
  <c r="R387" i="5"/>
  <c r="J387" i="5"/>
  <c r="H387" i="5"/>
  <c r="AB406" i="5"/>
  <c r="V406" i="5"/>
  <c r="G406" i="5" s="1"/>
  <c r="I526" i="5"/>
  <c r="H526" i="5"/>
  <c r="E526" i="5"/>
  <c r="X526" i="5" s="1"/>
  <c r="R526" i="5"/>
  <c r="J526" i="5"/>
  <c r="G526" i="5"/>
  <c r="F526" i="5"/>
  <c r="J388" i="5"/>
  <c r="J392" i="5"/>
  <c r="J396" i="5"/>
  <c r="J400" i="5"/>
  <c r="J404" i="5"/>
  <c r="J408" i="5"/>
  <c r="V410" i="5"/>
  <c r="J412" i="5"/>
  <c r="V414" i="5"/>
  <c r="J416" i="5"/>
  <c r="V418" i="5"/>
  <c r="J420" i="5"/>
  <c r="V422" i="5"/>
  <c r="J424" i="5"/>
  <c r="V426" i="5"/>
  <c r="J428" i="5"/>
  <c r="V430" i="5"/>
  <c r="J432" i="5"/>
  <c r="V434" i="5"/>
  <c r="J436" i="5"/>
  <c r="V438" i="5"/>
  <c r="J440" i="5"/>
  <c r="V442" i="5"/>
  <c r="H443" i="5"/>
  <c r="J444" i="5"/>
  <c r="V446" i="5"/>
  <c r="J448" i="5"/>
  <c r="V450" i="5"/>
  <c r="H451" i="5"/>
  <c r="J452" i="5"/>
  <c r="V454" i="5"/>
  <c r="H455" i="5"/>
  <c r="J456" i="5"/>
  <c r="V458" i="5"/>
  <c r="H461" i="5"/>
  <c r="AB466" i="5"/>
  <c r="G470" i="5"/>
  <c r="AB474" i="5"/>
  <c r="F476" i="5"/>
  <c r="E487" i="5"/>
  <c r="X487" i="5" s="1"/>
  <c r="F492" i="5"/>
  <c r="E503" i="5"/>
  <c r="F508" i="5"/>
  <c r="E519" i="5"/>
  <c r="X519" i="5" s="1"/>
  <c r="E535" i="5"/>
  <c r="F540" i="5"/>
  <c r="R547" i="5"/>
  <c r="J547" i="5"/>
  <c r="AB553" i="5"/>
  <c r="V553" i="5"/>
  <c r="E555" i="5"/>
  <c r="AB572" i="5"/>
  <c r="AB582" i="5"/>
  <c r="AB585" i="5"/>
  <c r="V585" i="5"/>
  <c r="AB596" i="5"/>
  <c r="AB597" i="5"/>
  <c r="V597" i="5"/>
  <c r="G597" i="5" s="1"/>
  <c r="H706" i="5"/>
  <c r="R706" i="5"/>
  <c r="J706" i="5"/>
  <c r="I706" i="5"/>
  <c r="F706" i="5"/>
  <c r="E706" i="5"/>
  <c r="X706" i="5" s="1"/>
  <c r="V460" i="5"/>
  <c r="V466" i="5"/>
  <c r="G466" i="5" s="1"/>
  <c r="V474" i="5"/>
  <c r="G474" i="5" s="1"/>
  <c r="V477" i="5"/>
  <c r="AB478" i="5"/>
  <c r="G483" i="5"/>
  <c r="AB483" i="5"/>
  <c r="E484" i="5"/>
  <c r="X484" i="5" s="1"/>
  <c r="I484" i="5"/>
  <c r="V493" i="5"/>
  <c r="G493" i="5" s="1"/>
  <c r="AB494" i="5"/>
  <c r="G499" i="5"/>
  <c r="AB499" i="5"/>
  <c r="E500" i="5"/>
  <c r="X500" i="5" s="1"/>
  <c r="I500" i="5"/>
  <c r="V509" i="5"/>
  <c r="G509" i="5" s="1"/>
  <c r="AB510" i="5"/>
  <c r="F514" i="5"/>
  <c r="G515" i="5"/>
  <c r="AB515" i="5"/>
  <c r="E516" i="5"/>
  <c r="X516" i="5" s="1"/>
  <c r="I516" i="5"/>
  <c r="F519" i="5"/>
  <c r="V525" i="5"/>
  <c r="AB526" i="5"/>
  <c r="F530" i="5"/>
  <c r="G531" i="5"/>
  <c r="AB531" i="5"/>
  <c r="E532" i="5"/>
  <c r="X532" i="5" s="1"/>
  <c r="I532" i="5"/>
  <c r="F535" i="5"/>
  <c r="V541" i="5"/>
  <c r="G541" i="5" s="1"/>
  <c r="AB542" i="5"/>
  <c r="F546" i="5"/>
  <c r="J550" i="5"/>
  <c r="I550" i="5"/>
  <c r="H550" i="5"/>
  <c r="E550" i="5"/>
  <c r="F555" i="5"/>
  <c r="AB558" i="5"/>
  <c r="R559" i="5"/>
  <c r="J559" i="5"/>
  <c r="J566" i="5"/>
  <c r="I566" i="5"/>
  <c r="H566" i="5"/>
  <c r="E566" i="5"/>
  <c r="X566" i="5" s="1"/>
  <c r="AB570" i="5"/>
  <c r="AB573" i="5"/>
  <c r="V573" i="5"/>
  <c r="G573" i="5" s="1"/>
  <c r="J443" i="5"/>
  <c r="J451" i="5"/>
  <c r="J455" i="5"/>
  <c r="J461" i="5"/>
  <c r="V462" i="5"/>
  <c r="G462" i="5" s="1"/>
  <c r="G468" i="5"/>
  <c r="R479" i="5"/>
  <c r="J479" i="5"/>
  <c r="G482" i="5"/>
  <c r="H487" i="5"/>
  <c r="F488" i="5"/>
  <c r="V490" i="5"/>
  <c r="R495" i="5"/>
  <c r="J495" i="5"/>
  <c r="G498" i="5"/>
  <c r="H503" i="5"/>
  <c r="F504" i="5"/>
  <c r="V506" i="5"/>
  <c r="R511" i="5"/>
  <c r="J511" i="5"/>
  <c r="G514" i="5"/>
  <c r="H519" i="5"/>
  <c r="F520" i="5"/>
  <c r="V522" i="5"/>
  <c r="R527" i="5"/>
  <c r="J527" i="5"/>
  <c r="G530" i="5"/>
  <c r="H535" i="5"/>
  <c r="F536" i="5"/>
  <c r="V538" i="5"/>
  <c r="R543" i="5"/>
  <c r="J543" i="5"/>
  <c r="G546" i="5"/>
  <c r="H555" i="5"/>
  <c r="AB580" i="5"/>
  <c r="J586" i="5"/>
  <c r="I586" i="5"/>
  <c r="H586" i="5"/>
  <c r="E586" i="5"/>
  <c r="X586" i="5" s="1"/>
  <c r="G341" i="5"/>
  <c r="G345" i="5"/>
  <c r="G349" i="5"/>
  <c r="G353" i="5"/>
  <c r="G357" i="5"/>
  <c r="G361" i="5"/>
  <c r="G369" i="5"/>
  <c r="G373" i="5"/>
  <c r="G377" i="5"/>
  <c r="G381" i="5"/>
  <c r="G385" i="5"/>
  <c r="G389" i="5"/>
  <c r="G393" i="5"/>
  <c r="G397" i="5"/>
  <c r="G401" i="5"/>
  <c r="G405" i="5"/>
  <c r="G409" i="5"/>
  <c r="G413" i="5"/>
  <c r="G417" i="5"/>
  <c r="G421" i="5"/>
  <c r="G425" i="5"/>
  <c r="G429" i="5"/>
  <c r="G433" i="5"/>
  <c r="G437" i="5"/>
  <c r="G441" i="5"/>
  <c r="R443" i="5"/>
  <c r="G445" i="5"/>
  <c r="G449" i="5"/>
  <c r="R451" i="5"/>
  <c r="G453" i="5"/>
  <c r="R455" i="5"/>
  <c r="G457" i="5"/>
  <c r="H468" i="5"/>
  <c r="V469" i="5"/>
  <c r="G469" i="5" s="1"/>
  <c r="G479" i="5"/>
  <c r="AB479" i="5"/>
  <c r="E480" i="5"/>
  <c r="X480" i="5" s="1"/>
  <c r="I480" i="5"/>
  <c r="J482" i="5"/>
  <c r="AB484" i="5"/>
  <c r="G488" i="5"/>
  <c r="V489" i="5"/>
  <c r="G489" i="5" s="1"/>
  <c r="AB490" i="5"/>
  <c r="G495" i="5"/>
  <c r="AB495" i="5"/>
  <c r="J498" i="5"/>
  <c r="AB500" i="5"/>
  <c r="G504" i="5"/>
  <c r="V505" i="5"/>
  <c r="G505" i="5" s="1"/>
  <c r="AB506" i="5"/>
  <c r="G511" i="5"/>
  <c r="AB511" i="5"/>
  <c r="E512" i="5"/>
  <c r="X512" i="5" s="1"/>
  <c r="I512" i="5"/>
  <c r="J514" i="5"/>
  <c r="AB516" i="5"/>
  <c r="G520" i="5"/>
  <c r="V521" i="5"/>
  <c r="G521" i="5" s="1"/>
  <c r="AB522" i="5"/>
  <c r="G527" i="5"/>
  <c r="AB527" i="5"/>
  <c r="E528" i="5"/>
  <c r="X528" i="5" s="1"/>
  <c r="I528" i="5"/>
  <c r="J530" i="5"/>
  <c r="AB532" i="5"/>
  <c r="G536" i="5"/>
  <c r="V537" i="5"/>
  <c r="G537" i="5" s="1"/>
  <c r="AB538" i="5"/>
  <c r="G543" i="5"/>
  <c r="AB543" i="5"/>
  <c r="E544" i="5"/>
  <c r="X544" i="5" s="1"/>
  <c r="I544" i="5"/>
  <c r="J546" i="5"/>
  <c r="F547" i="5"/>
  <c r="AB548" i="5"/>
  <c r="AB550" i="5"/>
  <c r="R551" i="5"/>
  <c r="J551" i="5"/>
  <c r="AB557" i="5"/>
  <c r="V557" i="5"/>
  <c r="G557" i="5" s="1"/>
  <c r="F558" i="5"/>
  <c r="E559" i="5"/>
  <c r="AB568" i="5"/>
  <c r="F570" i="5"/>
  <c r="AB578" i="5"/>
  <c r="AB581" i="5"/>
  <c r="V581" i="5"/>
  <c r="G581" i="5" s="1"/>
  <c r="H682" i="5"/>
  <c r="R682" i="5"/>
  <c r="J682" i="5"/>
  <c r="I682" i="5"/>
  <c r="F682" i="5"/>
  <c r="E682" i="5"/>
  <c r="X682" i="5" s="1"/>
  <c r="V467" i="5"/>
  <c r="I468" i="5"/>
  <c r="V475" i="5"/>
  <c r="F484" i="5"/>
  <c r="V486" i="5"/>
  <c r="G486" i="5" s="1"/>
  <c r="H488" i="5"/>
  <c r="R491" i="5"/>
  <c r="J491" i="5"/>
  <c r="F500" i="5"/>
  <c r="V502" i="5"/>
  <c r="H504" i="5"/>
  <c r="R507" i="5"/>
  <c r="J507" i="5"/>
  <c r="F516" i="5"/>
  <c r="V518" i="5"/>
  <c r="H520" i="5"/>
  <c r="R523" i="5"/>
  <c r="J523" i="5"/>
  <c r="F532" i="5"/>
  <c r="V534" i="5"/>
  <c r="G534" i="5" s="1"/>
  <c r="H536" i="5"/>
  <c r="R539" i="5"/>
  <c r="J539" i="5"/>
  <c r="V554" i="5"/>
  <c r="G554" i="5" s="1"/>
  <c r="G558" i="5"/>
  <c r="F559" i="5"/>
  <c r="AB562" i="5"/>
  <c r="R563" i="5"/>
  <c r="J563" i="5"/>
  <c r="AB566" i="5"/>
  <c r="AB569" i="5"/>
  <c r="V569" i="5"/>
  <c r="G569" i="5" s="1"/>
  <c r="G570"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J468" i="5"/>
  <c r="AB475" i="5"/>
  <c r="E476" i="5"/>
  <c r="X476" i="5" s="1"/>
  <c r="I476" i="5"/>
  <c r="F479" i="5"/>
  <c r="AB480" i="5"/>
  <c r="G484" i="5"/>
  <c r="V485" i="5"/>
  <c r="AB486" i="5"/>
  <c r="G491" i="5"/>
  <c r="AB491" i="5"/>
  <c r="E492" i="5"/>
  <c r="X492" i="5" s="1"/>
  <c r="I492" i="5"/>
  <c r="F495" i="5"/>
  <c r="AB496" i="5"/>
  <c r="G500" i="5"/>
  <c r="V501" i="5"/>
  <c r="G501" i="5" s="1"/>
  <c r="AB502" i="5"/>
  <c r="G507" i="5"/>
  <c r="AB507" i="5"/>
  <c r="E508" i="5"/>
  <c r="X508" i="5" s="1"/>
  <c r="I508" i="5"/>
  <c r="F511" i="5"/>
  <c r="AB512" i="5"/>
  <c r="G516" i="5"/>
  <c r="V517" i="5"/>
  <c r="AB518" i="5"/>
  <c r="G523" i="5"/>
  <c r="AB523" i="5"/>
  <c r="F527" i="5"/>
  <c r="AB528" i="5"/>
  <c r="G532" i="5"/>
  <c r="V533" i="5"/>
  <c r="G533" i="5" s="1"/>
  <c r="AB534" i="5"/>
  <c r="G539" i="5"/>
  <c r="AB539" i="5"/>
  <c r="E540" i="5"/>
  <c r="X540" i="5" s="1"/>
  <c r="I540" i="5"/>
  <c r="F543" i="5"/>
  <c r="AB544" i="5"/>
  <c r="AB549" i="5"/>
  <c r="V549" i="5"/>
  <c r="G549" i="5" s="1"/>
  <c r="F550" i="5"/>
  <c r="H559" i="5"/>
  <c r="AB576" i="5"/>
  <c r="J582" i="5"/>
  <c r="I582" i="5"/>
  <c r="H582" i="5"/>
  <c r="E582" i="5"/>
  <c r="X582" i="5" s="1"/>
  <c r="AB586" i="5"/>
  <c r="AB589" i="5"/>
  <c r="V589" i="5"/>
  <c r="H690" i="5"/>
  <c r="R690" i="5"/>
  <c r="J690" i="5"/>
  <c r="I690" i="5"/>
  <c r="F690" i="5"/>
  <c r="E690" i="5"/>
  <c r="X690" i="5" s="1"/>
  <c r="R468" i="5"/>
  <c r="I482" i="5"/>
  <c r="H482" i="5"/>
  <c r="E482" i="5"/>
  <c r="H484" i="5"/>
  <c r="R487" i="5"/>
  <c r="J487" i="5"/>
  <c r="I498" i="5"/>
  <c r="H498" i="5"/>
  <c r="E498" i="5"/>
  <c r="H500" i="5"/>
  <c r="R503" i="5"/>
  <c r="J503" i="5"/>
  <c r="I514" i="5"/>
  <c r="H514" i="5"/>
  <c r="E514" i="5"/>
  <c r="R519" i="5"/>
  <c r="J519" i="5"/>
  <c r="I530" i="5"/>
  <c r="H530" i="5"/>
  <c r="E530" i="5"/>
  <c r="R535" i="5"/>
  <c r="J535" i="5"/>
  <c r="I546" i="5"/>
  <c r="H546" i="5"/>
  <c r="E546" i="5"/>
  <c r="AB554" i="5"/>
  <c r="R555" i="5"/>
  <c r="J555" i="5"/>
  <c r="AB561" i="5"/>
  <c r="V561" i="5"/>
  <c r="G561" i="5" s="1"/>
  <c r="T564" i="5"/>
  <c r="S564" i="5"/>
  <c r="AB564" i="5"/>
  <c r="J570" i="5"/>
  <c r="I570" i="5"/>
  <c r="H570" i="5"/>
  <c r="E570" i="5"/>
  <c r="X570" i="5" s="1"/>
  <c r="AB574" i="5"/>
  <c r="AB577" i="5"/>
  <c r="V577" i="5"/>
  <c r="G577" i="5" s="1"/>
  <c r="R590" i="5"/>
  <c r="J590" i="5"/>
  <c r="I590" i="5"/>
  <c r="H590" i="5"/>
  <c r="E590" i="5"/>
  <c r="X590" i="5" s="1"/>
  <c r="H698" i="5"/>
  <c r="R698" i="5"/>
  <c r="J698" i="5"/>
  <c r="I698" i="5"/>
  <c r="F698" i="5"/>
  <c r="E698" i="5"/>
  <c r="X698" i="5" s="1"/>
  <c r="V465" i="5"/>
  <c r="G465" i="5" s="1"/>
  <c r="AB465" i="5"/>
  <c r="V473" i="5"/>
  <c r="AB476" i="5"/>
  <c r="V481" i="5"/>
  <c r="G481" i="5" s="1"/>
  <c r="AB482" i="5"/>
  <c r="J484" i="5"/>
  <c r="G487" i="5"/>
  <c r="AB487" i="5"/>
  <c r="E488" i="5"/>
  <c r="I488" i="5"/>
  <c r="AB492" i="5"/>
  <c r="V497" i="5"/>
  <c r="G497" i="5" s="1"/>
  <c r="AB498" i="5"/>
  <c r="J500" i="5"/>
  <c r="G503" i="5"/>
  <c r="AB503" i="5"/>
  <c r="E504" i="5"/>
  <c r="I504" i="5"/>
  <c r="AB508" i="5"/>
  <c r="V513" i="5"/>
  <c r="G513" i="5" s="1"/>
  <c r="AB514" i="5"/>
  <c r="J516" i="5"/>
  <c r="G519" i="5"/>
  <c r="AB519" i="5"/>
  <c r="E520" i="5"/>
  <c r="I520" i="5"/>
  <c r="AB524" i="5"/>
  <c r="V529" i="5"/>
  <c r="G529" i="5" s="1"/>
  <c r="AB530" i="5"/>
  <c r="J532" i="5"/>
  <c r="T532" i="5" s="1"/>
  <c r="G535" i="5"/>
  <c r="AB535" i="5"/>
  <c r="E536" i="5"/>
  <c r="X536" i="5" s="1"/>
  <c r="I536" i="5"/>
  <c r="AB540" i="5"/>
  <c r="V545" i="5"/>
  <c r="AB546" i="5"/>
  <c r="J558" i="5"/>
  <c r="I558" i="5"/>
  <c r="H558" i="5"/>
  <c r="E558" i="5"/>
  <c r="AB565" i="5"/>
  <c r="V565" i="5"/>
  <c r="AB584"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V579" i="5"/>
  <c r="V583" i="5"/>
  <c r="H584" i="5"/>
  <c r="V587" i="5"/>
  <c r="G587" i="5" s="1"/>
  <c r="V591" i="5"/>
  <c r="G591" i="5" s="1"/>
  <c r="V595" i="5"/>
  <c r="V599" i="5"/>
  <c r="G599" i="5" s="1"/>
  <c r="AB600" i="5"/>
  <c r="V603" i="5"/>
  <c r="G603" i="5" s="1"/>
  <c r="H604" i="5"/>
  <c r="AB604" i="5"/>
  <c r="V607" i="5"/>
  <c r="G607" i="5" s="1"/>
  <c r="AB608"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84" i="5"/>
  <c r="E598" i="5"/>
  <c r="X598" i="5" s="1"/>
  <c r="I600" i="5"/>
  <c r="I604" i="5"/>
  <c r="E606" i="5"/>
  <c r="X606" i="5" s="1"/>
  <c r="E610" i="5"/>
  <c r="X610" i="5" s="1"/>
  <c r="I612" i="5"/>
  <c r="E614" i="5"/>
  <c r="X614" i="5" s="1"/>
  <c r="T614" i="5"/>
  <c r="I616" i="5"/>
  <c r="E618" i="5"/>
  <c r="X618" i="5" s="1"/>
  <c r="T618" i="5"/>
  <c r="I620" i="5"/>
  <c r="E622" i="5"/>
  <c r="X622" i="5" s="1"/>
  <c r="T622" i="5"/>
  <c r="I624" i="5"/>
  <c r="E626" i="5"/>
  <c r="X626" i="5" s="1"/>
  <c r="T626" i="5"/>
  <c r="I628" i="5"/>
  <c r="E630" i="5"/>
  <c r="X630" i="5" s="1"/>
  <c r="T630" i="5"/>
  <c r="T634" i="5"/>
  <c r="I636" i="5"/>
  <c r="E638" i="5"/>
  <c r="X638" i="5" s="1"/>
  <c r="T638" i="5"/>
  <c r="E642" i="5"/>
  <c r="X642" i="5" s="1"/>
  <c r="T642" i="5"/>
  <c r="E646" i="5"/>
  <c r="X646" i="5" s="1"/>
  <c r="T646" i="5"/>
  <c r="T650" i="5"/>
  <c r="I652" i="5"/>
  <c r="T654" i="5"/>
  <c r="I656" i="5"/>
  <c r="T658" i="5"/>
  <c r="I660" i="5"/>
  <c r="T662" i="5"/>
  <c r="T666" i="5"/>
  <c r="T670" i="5"/>
  <c r="T674" i="5"/>
  <c r="AB681" i="5"/>
  <c r="S683" i="5"/>
  <c r="AB686" i="5"/>
  <c r="G686" i="5"/>
  <c r="J688" i="5"/>
  <c r="J689" i="5"/>
  <c r="F691" i="5"/>
  <c r="S693" i="5"/>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S673" i="5"/>
  <c r="J676" i="5"/>
  <c r="S677"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AB747" i="5"/>
  <c r="R748" i="5"/>
  <c r="H748" i="5"/>
  <c r="H769" i="5"/>
  <c r="F769" i="5"/>
  <c r="E769" i="5"/>
  <c r="X769" i="5" s="1"/>
  <c r="J769" i="5"/>
  <c r="I769" i="5"/>
  <c r="H785" i="5"/>
  <c r="F785" i="5"/>
  <c r="E785" i="5"/>
  <c r="X785" i="5" s="1"/>
  <c r="J785" i="5"/>
  <c r="I785" i="5"/>
  <c r="J791" i="5"/>
  <c r="I791" i="5"/>
  <c r="H791" i="5"/>
  <c r="F791" i="5"/>
  <c r="E791" i="5"/>
  <c r="X791" i="5" s="1"/>
  <c r="J799" i="5"/>
  <c r="AB682" i="5"/>
  <c r="G682" i="5"/>
  <c r="AB693"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V601" i="5"/>
  <c r="G601" i="5" s="1"/>
  <c r="S604" i="5"/>
  <c r="V605" i="5"/>
  <c r="H606"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S652" i="5"/>
  <c r="V653" i="5"/>
  <c r="H654" i="5"/>
  <c r="S656" i="5"/>
  <c r="V657" i="5"/>
  <c r="H658" i="5"/>
  <c r="S660" i="5"/>
  <c r="V661" i="5"/>
  <c r="G661" i="5" s="1"/>
  <c r="S664" i="5"/>
  <c r="V665" i="5"/>
  <c r="G665" i="5" s="1"/>
  <c r="H666" i="5"/>
  <c r="S668" i="5"/>
  <c r="V669" i="5"/>
  <c r="G669" i="5" s="1"/>
  <c r="S672" i="5"/>
  <c r="V673" i="5"/>
  <c r="G673" i="5" s="1"/>
  <c r="H674" i="5"/>
  <c r="S676" i="5"/>
  <c r="V677" i="5"/>
  <c r="G677" i="5" s="1"/>
  <c r="H681" i="5"/>
  <c r="AB683" i="5"/>
  <c r="F692" i="5"/>
  <c r="F693" i="5"/>
  <c r="E693" i="5"/>
  <c r="X693" i="5" s="1"/>
  <c r="I693" i="5"/>
  <c r="H694" i="5"/>
  <c r="R694" i="5"/>
  <c r="V695" i="5"/>
  <c r="G695" i="5" s="1"/>
  <c r="H697" i="5"/>
  <c r="AB699" i="5"/>
  <c r="S707" i="5"/>
  <c r="R709" i="5"/>
  <c r="H711" i="5"/>
  <c r="G713" i="5"/>
  <c r="E714" i="5"/>
  <c r="X714" i="5" s="1"/>
  <c r="J715" i="5"/>
  <c r="I715" i="5"/>
  <c r="F715" i="5"/>
  <c r="E715" i="5"/>
  <c r="X715" i="5" s="1"/>
  <c r="AB719"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6" i="5"/>
  <c r="I610" i="5"/>
  <c r="I614" i="5"/>
  <c r="I618" i="5"/>
  <c r="I622" i="5"/>
  <c r="I626" i="5"/>
  <c r="I630" i="5"/>
  <c r="I638" i="5"/>
  <c r="I642" i="5"/>
  <c r="I646"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AB721" i="5"/>
  <c r="S725" i="5"/>
  <c r="J726" i="5"/>
  <c r="R727" i="5"/>
  <c r="I728" i="5"/>
  <c r="H729" i="5"/>
  <c r="F730" i="5"/>
  <c r="G731" i="5"/>
  <c r="E732" i="5"/>
  <c r="X732" i="5" s="1"/>
  <c r="F733" i="5"/>
  <c r="E733" i="5"/>
  <c r="X733" i="5" s="1"/>
  <c r="J733" i="5"/>
  <c r="I733" i="5"/>
  <c r="AB737" i="5"/>
  <c r="S741" i="5"/>
  <c r="J742" i="5"/>
  <c r="R743" i="5"/>
  <c r="I744" i="5"/>
  <c r="H745" i="5"/>
  <c r="G747" i="5"/>
  <c r="E748" i="5"/>
  <c r="X748" i="5" s="1"/>
  <c r="AB751" i="5"/>
  <c r="T751" i="5"/>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T598" i="5" s="1"/>
  <c r="J606" i="5"/>
  <c r="T606" i="5" s="1"/>
  <c r="J610" i="5"/>
  <c r="T610" i="5" s="1"/>
  <c r="J614" i="5"/>
  <c r="J618" i="5"/>
  <c r="J622" i="5"/>
  <c r="J626" i="5"/>
  <c r="J630"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H777" i="5"/>
  <c r="F777" i="5"/>
  <c r="E777" i="5"/>
  <c r="X777" i="5" s="1"/>
  <c r="J777" i="5"/>
  <c r="I777" i="5"/>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8" i="5"/>
  <c r="G692" i="5"/>
  <c r="G700" i="5"/>
  <c r="G704" i="5"/>
  <c r="G708" i="5"/>
  <c r="G716" i="5"/>
  <c r="G724" i="5"/>
  <c r="G728" i="5"/>
  <c r="G732" i="5"/>
  <c r="G736" i="5"/>
  <c r="G740" i="5"/>
  <c r="G744" i="5"/>
  <c r="G748" i="5"/>
  <c r="G756" i="5"/>
  <c r="R758" i="5"/>
  <c r="G760" i="5"/>
  <c r="G764"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H856" i="5"/>
  <c r="G860" i="5"/>
  <c r="AB860" i="5"/>
  <c r="AB861" i="5"/>
  <c r="G864" i="5"/>
  <c r="AB864" i="5"/>
  <c r="F873" i="5"/>
  <c r="S877"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R843" i="5"/>
  <c r="J843" i="5"/>
  <c r="I843" i="5"/>
  <c r="E843" i="5"/>
  <c r="X843" i="5" s="1"/>
  <c r="E844" i="5"/>
  <c r="X844" i="5" s="1"/>
  <c r="R844" i="5"/>
  <c r="I844" i="5"/>
  <c r="G844" i="5"/>
  <c r="J851" i="5"/>
  <c r="E851" i="5"/>
  <c r="X851" i="5" s="1"/>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8"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F844" i="5"/>
  <c r="V847" i="5"/>
  <c r="G847" i="5" s="1"/>
  <c r="E848" i="5"/>
  <c r="X848" i="5" s="1"/>
  <c r="R848" i="5"/>
  <c r="I848" i="5"/>
  <c r="G848"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V944" i="5"/>
  <c r="G944" i="5" s="1"/>
  <c r="G945" i="5"/>
  <c r="E948" i="5"/>
  <c r="X948" i="5" s="1"/>
  <c r="R948" i="5"/>
  <c r="AB957" i="5"/>
  <c r="T957" i="5"/>
  <c r="S965" i="5"/>
  <c r="R966" i="5"/>
  <c r="J966" i="5"/>
  <c r="I966" i="5"/>
  <c r="F966" i="5"/>
  <c r="I969" i="5"/>
  <c r="H969" i="5"/>
  <c r="E969" i="5"/>
  <c r="X969" i="5" s="1"/>
  <c r="I973" i="5"/>
  <c r="H973" i="5"/>
  <c r="E973" i="5"/>
  <c r="X973" i="5" s="1"/>
  <c r="R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G1093" i="5"/>
  <c r="F1094" i="5"/>
  <c r="R1102" i="5"/>
  <c r="J1102" i="5"/>
  <c r="I1102" i="5"/>
  <c r="G1109"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V1311" i="5"/>
  <c r="R1312" i="5"/>
  <c r="J1312" i="5"/>
  <c r="I1312" i="5"/>
  <c r="G1312" i="5"/>
  <c r="F1312" i="5"/>
  <c r="E1312" i="5"/>
  <c r="X1312" i="5" s="1"/>
  <c r="V1315" i="5"/>
  <c r="G1315" i="5" s="1"/>
  <c r="R1316" i="5"/>
  <c r="J1316" i="5"/>
  <c r="I1316" i="5"/>
  <c r="G1316" i="5"/>
  <c r="F1316" i="5"/>
  <c r="E1316" i="5"/>
  <c r="X1316" i="5" s="1"/>
  <c r="V1319" i="5"/>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6" i="5"/>
  <c r="G990" i="5"/>
  <c r="I991" i="5"/>
  <c r="G994" i="5"/>
  <c r="I995" i="5"/>
  <c r="G998" i="5"/>
  <c r="I999" i="5"/>
  <c r="G1002" i="5"/>
  <c r="G1006" i="5"/>
  <c r="G1010" i="5"/>
  <c r="I1011" i="5"/>
  <c r="G1014" i="5"/>
  <c r="G1018" i="5"/>
  <c r="I1019" i="5"/>
  <c r="G1022" i="5"/>
  <c r="I1023" i="5"/>
  <c r="G1026" i="5"/>
  <c r="I1027" i="5"/>
  <c r="G1030" i="5"/>
  <c r="I1031" i="5"/>
  <c r="G1034" i="5"/>
  <c r="G1038" i="5"/>
  <c r="G1042" i="5"/>
  <c r="I1043" i="5"/>
  <c r="G1046" i="5"/>
  <c r="I1047" i="5"/>
  <c r="G1050" i="5"/>
  <c r="G1054" i="5"/>
  <c r="G1058" i="5"/>
  <c r="I1059" i="5"/>
  <c r="G1062" i="5"/>
  <c r="I1063" i="5"/>
  <c r="G1066" i="5"/>
  <c r="G1070" i="5"/>
  <c r="I1071" i="5"/>
  <c r="I1075" i="5"/>
  <c r="G1078" i="5"/>
  <c r="I1079" i="5"/>
  <c r="G1082" i="5"/>
  <c r="I1083" i="5"/>
  <c r="I1087" i="5"/>
  <c r="G1090" i="5"/>
  <c r="I1091" i="5"/>
  <c r="G1094" i="5"/>
  <c r="G1098" i="5"/>
  <c r="I1099" i="5"/>
  <c r="G1102" i="5"/>
  <c r="I1103" i="5"/>
  <c r="G1106" i="5"/>
  <c r="I1111" i="5"/>
  <c r="G1114" i="5"/>
  <c r="G1118" i="5"/>
  <c r="I1119" i="5"/>
  <c r="G1122" i="5"/>
  <c r="G1126" i="5"/>
  <c r="I1127" i="5"/>
  <c r="G1130"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V1207" i="5"/>
  <c r="G1207" i="5" s="1"/>
  <c r="F1214" i="5"/>
  <c r="E1214" i="5"/>
  <c r="X1214" i="5" s="1"/>
  <c r="I1218" i="5"/>
  <c r="AB1224" i="5"/>
  <c r="J1225" i="5"/>
  <c r="AB1227" i="5"/>
  <c r="T1227" i="5"/>
  <c r="G1236" i="5"/>
  <c r="V1239" i="5"/>
  <c r="G1239" i="5" s="1"/>
  <c r="F1241" i="5"/>
  <c r="F1246" i="5"/>
  <c r="E1246" i="5"/>
  <c r="X1246" i="5" s="1"/>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V1134" i="5"/>
  <c r="G1143" i="5"/>
  <c r="V1150" i="5"/>
  <c r="G1150" i="5" s="1"/>
  <c r="S1159" i="5"/>
  <c r="G1165" i="5"/>
  <c r="S1166" i="5"/>
  <c r="J1169" i="5"/>
  <c r="AB1171" i="5"/>
  <c r="T1171" i="5"/>
  <c r="H1182" i="5"/>
  <c r="V1183" i="5"/>
  <c r="G1183" i="5" s="1"/>
  <c r="S1184" i="5"/>
  <c r="S1191" i="5"/>
  <c r="G1197" i="5"/>
  <c r="S1198" i="5"/>
  <c r="J1201" i="5"/>
  <c r="AB1203" i="5"/>
  <c r="T1203" i="5"/>
  <c r="H1214" i="5"/>
  <c r="V1215" i="5"/>
  <c r="S1216" i="5"/>
  <c r="S1223" i="5"/>
  <c r="G1229" i="5"/>
  <c r="S1230"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3" i="5"/>
  <c r="E1357" i="5"/>
  <c r="X1357" i="5" s="1"/>
  <c r="I1357" i="5"/>
  <c r="H1357" i="5"/>
  <c r="G1357" i="5"/>
  <c r="F1357" i="5"/>
  <c r="I1367" i="5"/>
  <c r="H1367" i="5"/>
  <c r="E1367" i="5"/>
  <c r="X1367" i="5" s="1"/>
  <c r="R1367" i="5"/>
  <c r="J1367" i="5"/>
  <c r="G1372" i="5"/>
  <c r="G1383"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V1159" i="5"/>
  <c r="G1159" i="5" s="1"/>
  <c r="S1160" i="5"/>
  <c r="F1161" i="5"/>
  <c r="I1165" i="5"/>
  <c r="F1166" i="5"/>
  <c r="E1166" i="5"/>
  <c r="X1166" i="5" s="1"/>
  <c r="AB1166" i="5"/>
  <c r="G1173" i="5"/>
  <c r="S1174" i="5"/>
  <c r="G1178" i="5"/>
  <c r="AB1179" i="5"/>
  <c r="T1179" i="5"/>
  <c r="J1182" i="5"/>
  <c r="H1190" i="5"/>
  <c r="V1191" i="5"/>
  <c r="S1192" i="5"/>
  <c r="I1197" i="5"/>
  <c r="F1198" i="5"/>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R1289" i="5"/>
  <c r="E1293" i="5"/>
  <c r="X1293" i="5" s="1"/>
  <c r="R1293" i="5"/>
  <c r="E1301" i="5"/>
  <c r="X1301" i="5" s="1"/>
  <c r="R1301" i="5"/>
  <c r="E1305" i="5"/>
  <c r="X1305" i="5" s="1"/>
  <c r="R1305" i="5"/>
  <c r="E1309" i="5"/>
  <c r="X1309" i="5" s="1"/>
  <c r="R1309" i="5"/>
  <c r="E1321" i="5"/>
  <c r="X1321" i="5" s="1"/>
  <c r="R1321"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G1672" i="5"/>
  <c r="AB1698" i="5"/>
  <c r="T1698" i="5"/>
  <c r="S1698" i="5"/>
  <c r="V2455" i="5"/>
  <c r="G2455" i="5" s="1"/>
  <c r="T2470" i="5"/>
  <c r="AB2470" i="5"/>
  <c r="S2470" i="5"/>
  <c r="V1405" i="5"/>
  <c r="J1406" i="5"/>
  <c r="V1413" i="5"/>
  <c r="G1413" i="5" s="1"/>
  <c r="J1414" i="5"/>
  <c r="V1421" i="5"/>
  <c r="J1422" i="5"/>
  <c r="E1423" i="5"/>
  <c r="X1423" i="5" s="1"/>
  <c r="AB1423" i="5"/>
  <c r="V1429" i="5"/>
  <c r="G1429" i="5" s="1"/>
  <c r="J1430" i="5"/>
  <c r="E1431" i="5"/>
  <c r="X1431" i="5" s="1"/>
  <c r="AB1431" i="5"/>
  <c r="V1437"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G1511" i="5"/>
  <c r="F1511" i="5"/>
  <c r="R1511" i="5"/>
  <c r="AB1512" i="5"/>
  <c r="T1512" i="5"/>
  <c r="G1513" i="5"/>
  <c r="AB1517" i="5"/>
  <c r="T1518" i="5"/>
  <c r="S1518" i="5"/>
  <c r="AB1518"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11" i="5"/>
  <c r="R1411" i="5"/>
  <c r="F1419" i="5"/>
  <c r="R1419" i="5"/>
  <c r="I1423" i="5"/>
  <c r="F1427" i="5"/>
  <c r="R1427" i="5"/>
  <c r="I1431"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AB1403" i="5"/>
  <c r="E1406" i="5"/>
  <c r="X1406" i="5" s="1"/>
  <c r="V1409" i="5"/>
  <c r="E1411" i="5"/>
  <c r="X1411" i="5" s="1"/>
  <c r="AB1411" i="5"/>
  <c r="E1414" i="5"/>
  <c r="X1414" i="5" s="1"/>
  <c r="V1417" i="5"/>
  <c r="E1419" i="5"/>
  <c r="X1419" i="5" s="1"/>
  <c r="AB1419" i="5"/>
  <c r="E1422" i="5"/>
  <c r="X1422" i="5" s="1"/>
  <c r="J1423" i="5"/>
  <c r="V1425" i="5"/>
  <c r="G1425" i="5" s="1"/>
  <c r="E1427" i="5"/>
  <c r="X1427" i="5" s="1"/>
  <c r="AB1427" i="5"/>
  <c r="E1430" i="5"/>
  <c r="X1430" i="5" s="1"/>
  <c r="J1431" i="5"/>
  <c r="V1433" i="5"/>
  <c r="G1433" i="5" s="1"/>
  <c r="E1435" i="5"/>
  <c r="X1435" i="5" s="1"/>
  <c r="AB1435" i="5"/>
  <c r="J1439" i="5"/>
  <c r="R1448" i="5"/>
  <c r="R1449" i="5"/>
  <c r="G1450" i="5"/>
  <c r="F1451" i="5"/>
  <c r="R1451" i="5"/>
  <c r="H1454" i="5"/>
  <c r="E1455" i="5"/>
  <c r="X1455" i="5" s="1"/>
  <c r="AB1460" i="5"/>
  <c r="T1460" i="5"/>
  <c r="AB1461"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AB1619" i="5"/>
  <c r="AB1623" i="5"/>
  <c r="AB1638" i="5"/>
  <c r="T1638" i="5"/>
  <c r="S1638" i="5"/>
  <c r="V1651" i="5"/>
  <c r="AB1655" i="5"/>
  <c r="AB1670" i="5"/>
  <c r="T1670" i="5"/>
  <c r="S1670" i="5"/>
  <c r="E1676" i="5"/>
  <c r="X1676" i="5" s="1"/>
  <c r="R1676" i="5"/>
  <c r="J1676" i="5"/>
  <c r="I1676" i="5"/>
  <c r="H1676" i="5"/>
  <c r="V1683" i="5"/>
  <c r="G1683" i="5" s="1"/>
  <c r="AB1687" i="5"/>
  <c r="AB1702" i="5"/>
  <c r="T1702" i="5"/>
  <c r="S1702"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81" i="5"/>
  <c r="F1585" i="5"/>
  <c r="F1589" i="5"/>
  <c r="F1593" i="5"/>
  <c r="F1597" i="5"/>
  <c r="F1601" i="5"/>
  <c r="F1605" i="5"/>
  <c r="F1613" i="5"/>
  <c r="F1617" i="5"/>
  <c r="F1621" i="5"/>
  <c r="S1627" i="5"/>
  <c r="AB1631" i="5"/>
  <c r="F1636" i="5"/>
  <c r="AB1646" i="5"/>
  <c r="T1646" i="5"/>
  <c r="S1646" i="5"/>
  <c r="J1652" i="5"/>
  <c r="V1659" i="5"/>
  <c r="AB1663" i="5"/>
  <c r="AB1678" i="5"/>
  <c r="T1678" i="5"/>
  <c r="S1678" i="5"/>
  <c r="V1691" i="5"/>
  <c r="G1691" i="5" s="1"/>
  <c r="AB1695" i="5"/>
  <c r="AB1710" i="5"/>
  <c r="T1710" i="5"/>
  <c r="S1710" i="5"/>
  <c r="V1723" i="5"/>
  <c r="G1723" i="5" s="1"/>
  <c r="AB1727" i="5"/>
  <c r="V1736" i="5"/>
  <c r="V1760" i="5"/>
  <c r="G1760" i="5" s="1"/>
  <c r="T1546" i="5"/>
  <c r="AB1550" i="5"/>
  <c r="T1551" i="5"/>
  <c r="H1553" i="5"/>
  <c r="G1557" i="5"/>
  <c r="G1561" i="5"/>
  <c r="G1565" i="5"/>
  <c r="G1569" i="5"/>
  <c r="G1573" i="5"/>
  <c r="G1581" i="5"/>
  <c r="G1585" i="5"/>
  <c r="G1589"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81" i="5"/>
  <c r="H1585" i="5"/>
  <c r="H1589" i="5"/>
  <c r="H1597" i="5"/>
  <c r="H1601" i="5"/>
  <c r="H1605" i="5"/>
  <c r="H1609" i="5"/>
  <c r="H1613" i="5"/>
  <c r="H1617" i="5"/>
  <c r="H1621" i="5"/>
  <c r="V1635" i="5"/>
  <c r="G1635" i="5" s="1"/>
  <c r="AB1654" i="5"/>
  <c r="T1654" i="5"/>
  <c r="S1654" i="5"/>
  <c r="V1667" i="5"/>
  <c r="G1667" i="5" s="1"/>
  <c r="F1676" i="5"/>
  <c r="AB1686" i="5"/>
  <c r="T1686" i="5"/>
  <c r="S1686" i="5"/>
  <c r="E1692" i="5"/>
  <c r="X1692" i="5" s="1"/>
  <c r="R1692" i="5"/>
  <c r="J1692" i="5"/>
  <c r="I1692" i="5"/>
  <c r="H1692" i="5"/>
  <c r="V1699" i="5"/>
  <c r="G1699" i="5" s="1"/>
  <c r="AB1718" i="5"/>
  <c r="T1718" i="5"/>
  <c r="S1718"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AB1658" i="5"/>
  <c r="T1658" i="5"/>
  <c r="S1658" i="5"/>
  <c r="E1664" i="5"/>
  <c r="X1664" i="5" s="1"/>
  <c r="V1671" i="5"/>
  <c r="G1671" i="5" s="1"/>
  <c r="AB1675" i="5"/>
  <c r="G1676" i="5"/>
  <c r="AB1690" i="5"/>
  <c r="T1690" i="5"/>
  <c r="S1690" i="5"/>
  <c r="V1703" i="5"/>
  <c r="G1703" i="5" s="1"/>
  <c r="AB1707"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E1581" i="5"/>
  <c r="X1581" i="5" s="1"/>
  <c r="R1581" i="5"/>
  <c r="J1581" i="5"/>
  <c r="E1585" i="5"/>
  <c r="X1585" i="5" s="1"/>
  <c r="R1585" i="5"/>
  <c r="J1585" i="5"/>
  <c r="E1589" i="5"/>
  <c r="X1589" i="5" s="1"/>
  <c r="R1589" i="5"/>
  <c r="J1589" i="5"/>
  <c r="E1597" i="5"/>
  <c r="X1597" i="5" s="1"/>
  <c r="R1597" i="5"/>
  <c r="J1597" i="5"/>
  <c r="E1601" i="5"/>
  <c r="X1601" i="5" s="1"/>
  <c r="R1601" i="5"/>
  <c r="J1601" i="5"/>
  <c r="E1605" i="5"/>
  <c r="X1605" i="5" s="1"/>
  <c r="R1605" i="5"/>
  <c r="J1605"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V1675" i="5"/>
  <c r="G1675" i="5" s="1"/>
  <c r="AB1679" i="5"/>
  <c r="AB1694" i="5"/>
  <c r="T1694" i="5"/>
  <c r="S1694"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7" i="5"/>
  <c r="R1645" i="5"/>
  <c r="R1649" i="5"/>
  <c r="R1661" i="5"/>
  <c r="R1677" i="5"/>
  <c r="R1681" i="5"/>
  <c r="R1685" i="5"/>
  <c r="R1689" i="5"/>
  <c r="R1701" i="5"/>
  <c r="R1705" i="5"/>
  <c r="R1709" i="5"/>
  <c r="R1717" i="5"/>
  <c r="R1721"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E1777" i="5"/>
  <c r="X1777" i="5" s="1"/>
  <c r="H1778" i="5"/>
  <c r="E1781" i="5"/>
  <c r="X1781" i="5" s="1"/>
  <c r="H1782" i="5"/>
  <c r="E1785" i="5"/>
  <c r="X1785" i="5" s="1"/>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J1900" i="5"/>
  <c r="T1908" i="5"/>
  <c r="S1908" i="5"/>
  <c r="T1912" i="5"/>
  <c r="S1912" i="5"/>
  <c r="T1916" i="5"/>
  <c r="S1916" i="5"/>
  <c r="T1920" i="5"/>
  <c r="S1920" i="5"/>
  <c r="T1924" i="5"/>
  <c r="S1924" i="5"/>
  <c r="AB1924" i="5"/>
  <c r="V1942" i="5"/>
  <c r="T1945" i="5"/>
  <c r="S1945"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T1949" i="5"/>
  <c r="S1949"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20" i="5"/>
  <c r="J2024" i="5"/>
  <c r="J2028" i="5"/>
  <c r="J2032" i="5"/>
  <c r="J2036" i="5"/>
  <c r="J2040" i="5"/>
  <c r="J2048" i="5"/>
  <c r="V2049" i="5"/>
  <c r="G2049" i="5" s="1"/>
  <c r="H2053" i="5"/>
  <c r="V2054" i="5"/>
  <c r="G2054" i="5" s="1"/>
  <c r="S2055" i="5"/>
  <c r="G2056" i="5"/>
  <c r="T2057" i="5"/>
  <c r="S2057" i="5"/>
  <c r="H2061" i="5"/>
  <c r="V2062" i="5"/>
  <c r="G2062" i="5" s="1"/>
  <c r="S2063" i="5"/>
  <c r="G2064" i="5"/>
  <c r="T2065" i="5"/>
  <c r="S2065"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20" i="5"/>
  <c r="R2024" i="5"/>
  <c r="R2028" i="5"/>
  <c r="R2032" i="5"/>
  <c r="R2036" i="5"/>
  <c r="R2040" i="5"/>
  <c r="R2048" i="5"/>
  <c r="V2052" i="5"/>
  <c r="I2053" i="5"/>
  <c r="T2055" i="5"/>
  <c r="V2060" i="5"/>
  <c r="I2061" i="5"/>
  <c r="T2063" i="5"/>
  <c r="V2068" i="5"/>
  <c r="T2071" i="5"/>
  <c r="V2076"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G2013" i="5"/>
  <c r="G2017" i="5"/>
  <c r="E2020" i="5"/>
  <c r="X2020" i="5" s="1"/>
  <c r="G2021" i="5"/>
  <c r="E2024" i="5"/>
  <c r="X2024" i="5" s="1"/>
  <c r="G2025" i="5"/>
  <c r="E2028" i="5"/>
  <c r="X2028" i="5" s="1"/>
  <c r="G2029" i="5"/>
  <c r="E2032" i="5"/>
  <c r="X2032" i="5" s="1"/>
  <c r="G2033" i="5"/>
  <c r="E2036" i="5"/>
  <c r="X2036" i="5" s="1"/>
  <c r="G2037" i="5"/>
  <c r="E2040" i="5"/>
  <c r="X2040" i="5" s="1"/>
  <c r="G2041" i="5"/>
  <c r="G2045" i="5"/>
  <c r="E2048" i="5"/>
  <c r="X2048" i="5" s="1"/>
  <c r="R2053" i="5"/>
  <c r="G2057" i="5"/>
  <c r="R2061"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J2157" i="5"/>
  <c r="J2162" i="5"/>
  <c r="G2174" i="5"/>
  <c r="F2174" i="5"/>
  <c r="E2174" i="5"/>
  <c r="X2174" i="5" s="1"/>
  <c r="AB2178" i="5"/>
  <c r="T2178" i="5"/>
  <c r="S2178"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S2167"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V2136" i="5"/>
  <c r="S2139" i="5"/>
  <c r="I2142" i="5"/>
  <c r="H2145" i="5"/>
  <c r="H2146" i="5"/>
  <c r="G2150" i="5"/>
  <c r="F2150" i="5"/>
  <c r="E2150" i="5"/>
  <c r="X2150" i="5" s="1"/>
  <c r="T2154" i="5"/>
  <c r="S2154" i="5"/>
  <c r="V2155" i="5"/>
  <c r="G2155" i="5" s="1"/>
  <c r="AB2159" i="5"/>
  <c r="AB2164"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T2158" i="5"/>
  <c r="S2158" i="5"/>
  <c r="V2159" i="5"/>
  <c r="G2159" i="5" s="1"/>
  <c r="AB2163" i="5"/>
  <c r="AB2168" i="5"/>
  <c r="E2169" i="5"/>
  <c r="X2169" i="5" s="1"/>
  <c r="R2169" i="5"/>
  <c r="J2169" i="5"/>
  <c r="V2172" i="5"/>
  <c r="G2172" i="5" s="1"/>
  <c r="J2174" i="5"/>
  <c r="J2178" i="5"/>
  <c r="AB2183" i="5"/>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R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5" i="5"/>
  <c r="J2189" i="5"/>
  <c r="AB2199" i="5"/>
  <c r="T2199" i="5"/>
  <c r="E2199" i="5"/>
  <c r="X2199" i="5" s="1"/>
  <c r="AB2207" i="5"/>
  <c r="T2207" i="5"/>
  <c r="H2207" i="5"/>
  <c r="E2207" i="5"/>
  <c r="X2207" i="5" s="1"/>
  <c r="AB2215" i="5"/>
  <c r="T2215" i="5"/>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8" i="5"/>
  <c r="R2218" i="5"/>
  <c r="G2224" i="5"/>
  <c r="AB2224" i="5"/>
  <c r="E2225" i="5"/>
  <c r="X2225" i="5" s="1"/>
  <c r="I2225" i="5"/>
  <c r="AB2231" i="5"/>
  <c r="T2231"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J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I2233" i="5"/>
  <c r="G2236" i="5"/>
  <c r="I2237" i="5"/>
  <c r="G2240" i="5"/>
  <c r="G2244" i="5"/>
  <c r="G2248" i="5"/>
  <c r="G2252" i="5"/>
  <c r="G2256" i="5"/>
  <c r="G2260" i="5"/>
  <c r="G2264" i="5"/>
  <c r="J2273" i="5"/>
  <c r="V2276" i="5"/>
  <c r="T2278" i="5"/>
  <c r="AB2278" i="5"/>
  <c r="H2282" i="5"/>
  <c r="V2283" i="5"/>
  <c r="G2291" i="5"/>
  <c r="G2294" i="5"/>
  <c r="G2295" i="5"/>
  <c r="G2299" i="5"/>
  <c r="F2303" i="5"/>
  <c r="R2305" i="5"/>
  <c r="I2305" i="5"/>
  <c r="G2305" i="5"/>
  <c r="G2312" i="5"/>
  <c r="AB2315"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E2294" i="5"/>
  <c r="X2294" i="5" s="1"/>
  <c r="R2294" i="5"/>
  <c r="E2303" i="5"/>
  <c r="X2303" i="5" s="1"/>
  <c r="R2303" i="5"/>
  <c r="H2306" i="5"/>
  <c r="H2308"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T2335" i="5"/>
  <c r="R2338" i="5"/>
  <c r="T2339" i="5"/>
  <c r="R2342" i="5"/>
  <c r="T2343" i="5"/>
  <c r="R2346" i="5"/>
  <c r="T2347" i="5"/>
  <c r="R2350" i="5"/>
  <c r="G2356" i="5"/>
  <c r="AB2362" i="5"/>
  <c r="T2362" i="5"/>
  <c r="AB2370" i="5"/>
  <c r="T2370" i="5"/>
  <c r="AB2378" i="5"/>
  <c r="T2378" i="5"/>
  <c r="G2388" i="5"/>
  <c r="I2395" i="5"/>
  <c r="H2395" i="5"/>
  <c r="J2395" i="5"/>
  <c r="F2395" i="5"/>
  <c r="E2395" i="5"/>
  <c r="X2395" i="5" s="1"/>
  <c r="R2412" i="5"/>
  <c r="J2412" i="5"/>
  <c r="I2412" i="5"/>
  <c r="H2412" i="5"/>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61" i="5"/>
  <c r="V2463" i="5"/>
  <c r="G2463" i="5" s="1"/>
  <c r="J2469" i="5"/>
  <c r="V2471" i="5"/>
  <c r="G2482" i="5"/>
  <c r="G2488"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C11" i="6" l="1"/>
  <c r="C10" i="6"/>
  <c r="C9" i="6"/>
  <c r="C8" i="6"/>
  <c r="R2165" i="5"/>
  <c r="I1967" i="5"/>
  <c r="E2165" i="5"/>
  <c r="X2165" i="5" s="1"/>
  <c r="J2069" i="5"/>
  <c r="I2069" i="5"/>
  <c r="J1967" i="5"/>
  <c r="I987" i="5"/>
  <c r="H650" i="5"/>
  <c r="E290" i="5"/>
  <c r="X290" i="5" s="1"/>
  <c r="E2044" i="5"/>
  <c r="X2044" i="5" s="1"/>
  <c r="R2044" i="5"/>
  <c r="R1967" i="5"/>
  <c r="F290" i="5"/>
  <c r="H987" i="5"/>
  <c r="E1967" i="5"/>
  <c r="X1967" i="5" s="1"/>
  <c r="H1959" i="5"/>
  <c r="R987" i="5"/>
  <c r="R2069" i="5"/>
  <c r="I1959" i="5"/>
  <c r="E1272" i="5"/>
  <c r="X1272" i="5" s="1"/>
  <c r="H2069" i="5"/>
  <c r="J1959" i="5"/>
  <c r="R1959" i="5"/>
  <c r="E1198" i="5"/>
  <c r="X1198" i="5" s="1"/>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E2318" i="5"/>
  <c r="X2318" i="5" s="1"/>
  <c r="J1919" i="5"/>
  <c r="E1289" i="5"/>
  <c r="X1289" i="5" s="1"/>
  <c r="R983" i="5"/>
  <c r="G851" i="5"/>
  <c r="R872" i="5"/>
  <c r="I851" i="5"/>
  <c r="F1735" i="5"/>
  <c r="I1859" i="5"/>
  <c r="F1577" i="5"/>
  <c r="G1352" i="5"/>
  <c r="H1339" i="5"/>
  <c r="I1224" i="5"/>
  <c r="G752" i="5"/>
  <c r="E752" i="5"/>
  <c r="X752" i="5" s="1"/>
  <c r="J775" i="5"/>
  <c r="F678" i="5"/>
  <c r="I1735" i="5"/>
  <c r="J2284" i="5"/>
  <c r="J1339" i="5"/>
  <c r="F967" i="5"/>
  <c r="J678" i="5"/>
  <c r="E578" i="5"/>
  <c r="J265" i="5"/>
  <c r="F2189" i="5"/>
  <c r="J1735" i="5"/>
  <c r="R1339" i="5"/>
  <c r="I967" i="5"/>
  <c r="I829" i="5"/>
  <c r="H752" i="5"/>
  <c r="H578" i="5"/>
  <c r="I1665" i="5"/>
  <c r="H1577" i="5"/>
  <c r="E1339" i="5"/>
  <c r="X1339" i="5" s="1"/>
  <c r="R967" i="5"/>
  <c r="R829" i="5"/>
  <c r="J752" i="5"/>
  <c r="I578" i="5"/>
  <c r="I265" i="5"/>
  <c r="H265" i="5"/>
  <c r="J1492" i="5"/>
  <c r="F2409" i="5"/>
  <c r="R1669" i="5"/>
  <c r="J1577" i="5"/>
  <c r="I1339" i="5"/>
  <c r="E967" i="5"/>
  <c r="X967" i="5" s="1"/>
  <c r="J578" i="5"/>
  <c r="E678" i="5"/>
  <c r="X678" i="5" s="1"/>
  <c r="F1385" i="5"/>
  <c r="G982" i="5"/>
  <c r="G1320" i="5"/>
  <c r="F982" i="5"/>
  <c r="J672" i="5"/>
  <c r="E650" i="5"/>
  <c r="X650" i="5" s="1"/>
  <c r="J1051" i="5"/>
  <c r="H2173" i="5"/>
  <c r="J1684" i="5"/>
  <c r="I1385" i="5"/>
  <c r="I1051" i="5"/>
  <c r="I1320" i="5"/>
  <c r="I1133" i="5"/>
  <c r="H982" i="5"/>
  <c r="I650" i="5"/>
  <c r="E1385" i="5"/>
  <c r="X1385" i="5" s="1"/>
  <c r="R1039" i="5"/>
  <c r="G1133" i="5"/>
  <c r="I1015" i="5"/>
  <c r="J1320" i="5"/>
  <c r="J1133" i="5"/>
  <c r="I982" i="5"/>
  <c r="J2173" i="5"/>
  <c r="G1593" i="5"/>
  <c r="R1320" i="5"/>
  <c r="J982" i="5"/>
  <c r="E189" i="5"/>
  <c r="E2173" i="5"/>
  <c r="X2173" i="5" s="1"/>
  <c r="H2116" i="5"/>
  <c r="R1754" i="5"/>
  <c r="J1593" i="5"/>
  <c r="H1593" i="5"/>
  <c r="H1385" i="5"/>
  <c r="I672" i="5"/>
  <c r="J215" i="5"/>
  <c r="F2301" i="5"/>
  <c r="R1593" i="5"/>
  <c r="J1385" i="5"/>
  <c r="E1320" i="5"/>
  <c r="X1320" i="5" s="1"/>
  <c r="J189" i="5"/>
  <c r="R2301" i="5"/>
  <c r="E1593" i="5"/>
  <c r="X1593" i="5" s="1"/>
  <c r="R1051" i="5"/>
  <c r="R1015" i="5"/>
  <c r="I1039" i="5"/>
  <c r="F1320" i="5"/>
  <c r="R852" i="5"/>
  <c r="F1947" i="5"/>
  <c r="H1947" i="5"/>
  <c r="E1426" i="5"/>
  <c r="X1426" i="5" s="1"/>
  <c r="I1381" i="5"/>
  <c r="E872" i="5"/>
  <c r="X872" i="5" s="1"/>
  <c r="J463" i="5"/>
  <c r="I1947" i="5"/>
  <c r="R1665" i="5"/>
  <c r="E1158" i="5"/>
  <c r="X1158" i="5" s="1"/>
  <c r="H463" i="5"/>
  <c r="E2363" i="5"/>
  <c r="X2363" i="5" s="1"/>
  <c r="J1947" i="5"/>
  <c r="J1438" i="5"/>
  <c r="F1158" i="5"/>
  <c r="R1947" i="5"/>
  <c r="J1665" i="5"/>
  <c r="J1426" i="5"/>
  <c r="R262" i="5"/>
  <c r="E463" i="5"/>
  <c r="I2363" i="5"/>
  <c r="E262" i="5"/>
  <c r="I872" i="5"/>
  <c r="I463" i="5"/>
  <c r="R574" i="5"/>
  <c r="I2480" i="5"/>
  <c r="E1947" i="5"/>
  <c r="X1947" i="5" s="1"/>
  <c r="R1325" i="5"/>
  <c r="H1158" i="5"/>
  <c r="G872" i="5"/>
  <c r="F872" i="5"/>
  <c r="H297" i="5"/>
  <c r="F91" i="5"/>
  <c r="R746" i="5"/>
  <c r="F262" i="5"/>
  <c r="F767" i="5"/>
  <c r="H746" i="5"/>
  <c r="E562" i="5"/>
  <c r="H262" i="5"/>
  <c r="H2325" i="5"/>
  <c r="E103" i="5"/>
  <c r="R1329" i="5"/>
  <c r="E574" i="5"/>
  <c r="H562" i="5"/>
  <c r="F463" i="5"/>
  <c r="G1204" i="5"/>
  <c r="R1204" i="5"/>
  <c r="H574" i="5"/>
  <c r="I562" i="5"/>
  <c r="G262" i="5"/>
  <c r="F1665" i="5"/>
  <c r="J1204" i="5"/>
  <c r="G766" i="5"/>
  <c r="I574" i="5"/>
  <c r="J562" i="5"/>
  <c r="J297" i="5"/>
  <c r="I262" i="5"/>
  <c r="J872" i="5"/>
  <c r="F562" i="5"/>
  <c r="I103" i="5"/>
  <c r="H1665" i="5"/>
  <c r="J574" i="5"/>
  <c r="R2363" i="5"/>
  <c r="R2317" i="5"/>
  <c r="R2157" i="5"/>
  <c r="H1786" i="5"/>
  <c r="R799" i="5"/>
  <c r="H576" i="5"/>
  <c r="R2397" i="5"/>
  <c r="J2363" i="5"/>
  <c r="E2157" i="5"/>
  <c r="X2157" i="5" s="1"/>
  <c r="F696" i="5"/>
  <c r="I644" i="5"/>
  <c r="H403" i="5"/>
  <c r="H2397" i="5"/>
  <c r="E2397" i="5"/>
  <c r="X2397" i="5" s="1"/>
  <c r="E717" i="5"/>
  <c r="X717" i="5" s="1"/>
  <c r="J403" i="5"/>
  <c r="J1233" i="5"/>
  <c r="F717" i="5"/>
  <c r="R775" i="5"/>
  <c r="E799" i="5"/>
  <c r="X799" i="5" s="1"/>
  <c r="E775" i="5"/>
  <c r="X775" i="5" s="1"/>
  <c r="R403" i="5"/>
  <c r="H2317" i="5"/>
  <c r="F799" i="5"/>
  <c r="F775" i="5"/>
  <c r="E403" i="5"/>
  <c r="F2363" i="5"/>
  <c r="G2317" i="5"/>
  <c r="H799" i="5"/>
  <c r="H775" i="5"/>
  <c r="J391" i="5"/>
  <c r="H2363" i="5"/>
  <c r="I2317" i="5"/>
  <c r="F1786" i="5"/>
  <c r="F942" i="5"/>
  <c r="I799" i="5"/>
  <c r="I775" i="5"/>
  <c r="E2016" i="5"/>
  <c r="X2016" i="5" s="1"/>
  <c r="J2016" i="5"/>
  <c r="J1724" i="5"/>
  <c r="E1684" i="5"/>
  <c r="X1684" i="5" s="1"/>
  <c r="H1434" i="5"/>
  <c r="I1308" i="5"/>
  <c r="F1272" i="5"/>
  <c r="J602" i="5"/>
  <c r="T602" i="5" s="1"/>
  <c r="J2077" i="5"/>
  <c r="I2077" i="5"/>
  <c r="J1673" i="5"/>
  <c r="E1716" i="5"/>
  <c r="X1716" i="5" s="1"/>
  <c r="R1403" i="5"/>
  <c r="R1308" i="5"/>
  <c r="G1272" i="5"/>
  <c r="H602" i="5"/>
  <c r="E2257" i="5"/>
  <c r="X2257" i="5" s="1"/>
  <c r="I1770" i="5"/>
  <c r="R1633" i="5"/>
  <c r="I1272" i="5"/>
  <c r="R891" i="5"/>
  <c r="E1067" i="5"/>
  <c r="X1067" i="5" s="1"/>
  <c r="R2077" i="5"/>
  <c r="J1770" i="5"/>
  <c r="R1673" i="5"/>
  <c r="J1434" i="5"/>
  <c r="J1272" i="5"/>
  <c r="R2257" i="5"/>
  <c r="F1526" i="5"/>
  <c r="R1123" i="5"/>
  <c r="R1272" i="5"/>
  <c r="I602" i="5"/>
  <c r="F1673" i="5"/>
  <c r="J2318" i="5"/>
  <c r="H1464" i="5"/>
  <c r="I1526" i="5"/>
  <c r="H1673" i="5"/>
  <c r="R2318" i="5"/>
  <c r="H2043" i="5"/>
  <c r="J1633" i="5"/>
  <c r="J1526" i="5"/>
  <c r="E1434" i="5"/>
  <c r="X1434" i="5" s="1"/>
  <c r="E602" i="5"/>
  <c r="E1673" i="5"/>
  <c r="X1673" i="5" s="1"/>
  <c r="F1051" i="5"/>
  <c r="J115" i="5"/>
  <c r="F115" i="5"/>
  <c r="E265" i="5"/>
  <c r="I115" i="5"/>
  <c r="F265" i="5"/>
  <c r="F672" i="5"/>
  <c r="E115" i="5"/>
  <c r="R115" i="5"/>
  <c r="G1385" i="5"/>
  <c r="R1724" i="5"/>
  <c r="F1680" i="5"/>
  <c r="H1672" i="5"/>
  <c r="E1325" i="5"/>
  <c r="X1325" i="5" s="1"/>
  <c r="J1224" i="5"/>
  <c r="J696" i="5"/>
  <c r="I1325" i="5"/>
  <c r="F1681" i="5"/>
  <c r="H1700" i="5"/>
  <c r="E1724" i="5"/>
  <c r="X1724" i="5" s="1"/>
  <c r="G1680" i="5"/>
  <c r="F1313" i="5"/>
  <c r="G1681" i="5"/>
  <c r="F2293" i="5"/>
  <c r="I1700" i="5"/>
  <c r="F1609" i="5"/>
  <c r="H1680" i="5"/>
  <c r="E696" i="5"/>
  <c r="X696" i="5" s="1"/>
  <c r="I1681" i="5"/>
  <c r="I1313" i="5"/>
  <c r="H1681" i="5"/>
  <c r="H2293" i="5"/>
  <c r="F1936" i="5"/>
  <c r="J1700" i="5"/>
  <c r="J1609" i="5"/>
  <c r="R1712" i="5"/>
  <c r="I1680" i="5"/>
  <c r="R1313" i="5"/>
  <c r="H1313" i="5"/>
  <c r="R762" i="5"/>
  <c r="G696" i="5"/>
  <c r="I2293" i="5"/>
  <c r="R1697" i="5"/>
  <c r="J1693" i="5"/>
  <c r="R1609" i="5"/>
  <c r="E1712" i="5"/>
  <c r="X1712" i="5" s="1"/>
  <c r="J1680" i="5"/>
  <c r="E1313" i="5"/>
  <c r="X1313" i="5" s="1"/>
  <c r="F1224" i="5"/>
  <c r="H648" i="5"/>
  <c r="R419" i="5"/>
  <c r="E2293" i="5"/>
  <c r="X2293" i="5" s="1"/>
  <c r="R2293" i="5"/>
  <c r="R1693" i="5"/>
  <c r="H1724" i="5"/>
  <c r="R1680" i="5"/>
  <c r="H1224" i="5"/>
  <c r="I696" i="5"/>
  <c r="H696" i="5"/>
  <c r="J419" i="5"/>
  <c r="H2289" i="5"/>
  <c r="I1724" i="5"/>
  <c r="H1325" i="5"/>
  <c r="R1224" i="5"/>
  <c r="I648" i="5"/>
  <c r="H419" i="5"/>
  <c r="J2480" i="5"/>
  <c r="J2232" i="5"/>
  <c r="J1641" i="5"/>
  <c r="I1508" i="5"/>
  <c r="E1297" i="5"/>
  <c r="X1297" i="5" s="1"/>
  <c r="H1222" i="5"/>
  <c r="I1110" i="5"/>
  <c r="E496" i="5"/>
  <c r="I1140" i="5"/>
  <c r="I1233" i="5"/>
  <c r="H2480" i="5"/>
  <c r="G2232" i="5"/>
  <c r="H1859" i="5"/>
  <c r="I1754" i="5"/>
  <c r="R1641" i="5"/>
  <c r="J1110" i="5"/>
  <c r="I632" i="5"/>
  <c r="R1233" i="5"/>
  <c r="R2480" i="5"/>
  <c r="R2310" i="5"/>
  <c r="J1859" i="5"/>
  <c r="E1754" i="5"/>
  <c r="X1754" i="5" s="1"/>
  <c r="R1644" i="5"/>
  <c r="R1253" i="5"/>
  <c r="H1253" i="5"/>
  <c r="H1233" i="5"/>
  <c r="I596" i="5"/>
  <c r="R447" i="5"/>
  <c r="G1233" i="5"/>
  <c r="E2310" i="5"/>
  <c r="X2310" i="5" s="1"/>
  <c r="F2092" i="5"/>
  <c r="R1859" i="5"/>
  <c r="E1253" i="5"/>
  <c r="X1253" i="5" s="1"/>
  <c r="G836" i="5"/>
  <c r="H415" i="5"/>
  <c r="H395" i="5"/>
  <c r="E2480" i="5"/>
  <c r="X2480" i="5" s="1"/>
  <c r="F1859" i="5"/>
  <c r="E1859" i="5"/>
  <c r="X1859" i="5" s="1"/>
  <c r="E1668" i="5"/>
  <c r="X1668" i="5" s="1"/>
  <c r="E1508" i="5"/>
  <c r="X1508" i="5" s="1"/>
  <c r="E1222" i="5"/>
  <c r="X1222" i="5" s="1"/>
  <c r="R1086" i="5"/>
  <c r="I836" i="5"/>
  <c r="H596" i="5"/>
  <c r="R415" i="5"/>
  <c r="J447" i="5"/>
  <c r="J395" i="5"/>
  <c r="F2480" i="5"/>
  <c r="E2386" i="5"/>
  <c r="X2386" i="5" s="1"/>
  <c r="J2164" i="5"/>
  <c r="R1653" i="5"/>
  <c r="J1653" i="5"/>
  <c r="F1508" i="5"/>
  <c r="F1222" i="5"/>
  <c r="H1297" i="5"/>
  <c r="G1110" i="5"/>
  <c r="F836" i="5"/>
  <c r="R836" i="5"/>
  <c r="R395" i="5"/>
  <c r="I496" i="5"/>
  <c r="E395" i="5"/>
  <c r="F1233" i="5"/>
  <c r="E1900" i="5"/>
  <c r="X1900" i="5" s="1"/>
  <c r="J1725" i="5"/>
  <c r="H1716" i="5"/>
  <c r="F1403" i="5"/>
  <c r="E1381" i="5"/>
  <c r="X1381" i="5" s="1"/>
  <c r="E1329" i="5"/>
  <c r="X1329" i="5" s="1"/>
  <c r="I1095" i="5"/>
  <c r="E971" i="5"/>
  <c r="X971" i="5" s="1"/>
  <c r="E2213" i="5"/>
  <c r="X2213" i="5" s="1"/>
  <c r="E1633" i="5"/>
  <c r="X1633" i="5" s="1"/>
  <c r="R808" i="5"/>
  <c r="J239" i="5"/>
  <c r="J2133" i="5"/>
  <c r="J2161" i="5"/>
  <c r="E1919" i="5"/>
  <c r="X1919" i="5" s="1"/>
  <c r="I1716" i="5"/>
  <c r="H1426" i="5"/>
  <c r="H1329" i="5"/>
  <c r="I608" i="5"/>
  <c r="F808" i="5"/>
  <c r="J314" i="5"/>
  <c r="T314" i="5" s="1"/>
  <c r="H239" i="5"/>
  <c r="R2133" i="5"/>
  <c r="R2161" i="5"/>
  <c r="F1919" i="5"/>
  <c r="J1716" i="5"/>
  <c r="E1403" i="5"/>
  <c r="X1403" i="5" s="1"/>
  <c r="R1067" i="5"/>
  <c r="E1308" i="5"/>
  <c r="X1308" i="5" s="1"/>
  <c r="J1145" i="5"/>
  <c r="G750" i="5"/>
  <c r="H883" i="5"/>
  <c r="H447" i="5"/>
  <c r="I808" i="5"/>
  <c r="F175" i="5"/>
  <c r="E2133" i="5"/>
  <c r="X2133" i="5" s="1"/>
  <c r="H1900" i="5"/>
  <c r="I1919" i="5"/>
  <c r="R1716" i="5"/>
  <c r="H1684" i="5"/>
  <c r="R1285" i="5"/>
  <c r="F1308" i="5"/>
  <c r="F883" i="5"/>
  <c r="E314" i="5"/>
  <c r="I1403" i="5"/>
  <c r="H1919" i="5"/>
  <c r="I1684" i="5"/>
  <c r="E1285" i="5"/>
  <c r="X1285" i="5" s="1"/>
  <c r="I1123" i="5"/>
  <c r="I1067" i="5"/>
  <c r="G1308" i="5"/>
  <c r="I883" i="5"/>
  <c r="F314" i="5"/>
  <c r="R883" i="5"/>
  <c r="E783" i="5"/>
  <c r="X783" i="5" s="1"/>
  <c r="F1900" i="5"/>
  <c r="R1919" i="5"/>
  <c r="R1725" i="5"/>
  <c r="R1684" i="5"/>
  <c r="E1526" i="5"/>
  <c r="X1526" i="5" s="1"/>
  <c r="J1308" i="5"/>
  <c r="J2181" i="5"/>
  <c r="H2164" i="5"/>
  <c r="R2184" i="5"/>
  <c r="J1668" i="5"/>
  <c r="R1660" i="5"/>
  <c r="E1688" i="5"/>
  <c r="X1688" i="5" s="1"/>
  <c r="H1652" i="5"/>
  <c r="I1644" i="5"/>
  <c r="H942" i="5"/>
  <c r="G720" i="5"/>
  <c r="G680" i="5"/>
  <c r="E524" i="5"/>
  <c r="I720" i="5"/>
  <c r="R2181" i="5"/>
  <c r="I2164" i="5"/>
  <c r="E2012" i="5"/>
  <c r="X2012" i="5" s="1"/>
  <c r="E2092" i="5"/>
  <c r="X2092" i="5" s="1"/>
  <c r="R1668" i="5"/>
  <c r="G1708" i="5"/>
  <c r="F1708" i="5"/>
  <c r="E1660" i="5"/>
  <c r="X1660" i="5" s="1"/>
  <c r="I1652" i="5"/>
  <c r="J1644" i="5"/>
  <c r="E942" i="5"/>
  <c r="X942" i="5" s="1"/>
  <c r="E767" i="5"/>
  <c r="X767" i="5" s="1"/>
  <c r="H391" i="5"/>
  <c r="J720" i="5"/>
  <c r="J2454" i="5"/>
  <c r="F2215" i="5"/>
  <c r="E2215" i="5"/>
  <c r="X2215" i="5" s="1"/>
  <c r="E2184" i="5"/>
  <c r="X2184" i="5" s="1"/>
  <c r="R2164" i="5"/>
  <c r="I2043" i="5"/>
  <c r="G2092" i="5"/>
  <c r="R1657" i="5"/>
  <c r="R1652" i="5"/>
  <c r="H1708" i="5"/>
  <c r="E1644" i="5"/>
  <c r="X1644" i="5" s="1"/>
  <c r="I942" i="5"/>
  <c r="H767" i="5"/>
  <c r="J680" i="5"/>
  <c r="H720" i="5"/>
  <c r="I680" i="5"/>
  <c r="E680" i="5"/>
  <c r="X680" i="5" s="1"/>
  <c r="R391" i="5"/>
  <c r="F2012" i="5"/>
  <c r="R2454" i="5"/>
  <c r="H2215" i="5"/>
  <c r="J2043" i="5"/>
  <c r="H2092" i="5"/>
  <c r="H1688" i="5"/>
  <c r="E1652" i="5"/>
  <c r="X1652" i="5" s="1"/>
  <c r="I1708" i="5"/>
  <c r="R942" i="5"/>
  <c r="I767" i="5"/>
  <c r="R720" i="5"/>
  <c r="E391" i="5"/>
  <c r="F2253" i="5"/>
  <c r="E2253" i="5"/>
  <c r="X2253" i="5" s="1"/>
  <c r="J2197" i="5"/>
  <c r="H2184" i="5"/>
  <c r="R2012" i="5"/>
  <c r="R2043" i="5"/>
  <c r="I2092" i="5"/>
  <c r="H1660" i="5"/>
  <c r="F1644" i="5"/>
  <c r="I1688" i="5"/>
  <c r="F1668" i="5"/>
  <c r="J1708" i="5"/>
  <c r="J767" i="5"/>
  <c r="H600" i="5"/>
  <c r="R2197" i="5"/>
  <c r="I2184" i="5"/>
  <c r="E2043" i="5"/>
  <c r="X2043" i="5" s="1"/>
  <c r="J2092" i="5"/>
  <c r="J1657" i="5"/>
  <c r="H1668" i="5"/>
  <c r="G1644" i="5"/>
  <c r="I1660" i="5"/>
  <c r="J1688" i="5"/>
  <c r="R1708" i="5"/>
  <c r="G942" i="5"/>
  <c r="J644" i="5"/>
  <c r="J2184" i="5"/>
  <c r="I1668" i="5"/>
  <c r="J1660" i="5"/>
  <c r="R1688" i="5"/>
  <c r="H680" i="5"/>
  <c r="F680" i="5"/>
  <c r="E2197" i="5"/>
  <c r="X2197" i="5" s="1"/>
  <c r="E2409" i="5"/>
  <c r="X2409" i="5" s="1"/>
  <c r="I2116" i="5"/>
  <c r="R1774" i="5"/>
  <c r="R1140" i="5"/>
  <c r="H869" i="5"/>
  <c r="G869" i="5"/>
  <c r="E852" i="5"/>
  <c r="X852" i="5" s="1"/>
  <c r="R754" i="5"/>
  <c r="J439" i="5"/>
  <c r="J411" i="5"/>
  <c r="J293" i="5"/>
  <c r="H277" i="5"/>
  <c r="E8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I1842" i="5"/>
  <c r="E1855" i="5"/>
  <c r="X1855" i="5" s="1"/>
  <c r="R1811" i="5"/>
  <c r="G1774" i="5"/>
  <c r="F1471" i="5"/>
  <c r="R1317" i="5"/>
  <c r="I1086" i="5"/>
  <c r="I869" i="5"/>
  <c r="G852" i="5"/>
  <c r="H730" i="5"/>
  <c r="H592" i="5"/>
  <c r="R411" i="5"/>
  <c r="H439" i="5"/>
  <c r="H411" i="5"/>
  <c r="E330" i="5"/>
  <c r="I277" i="5"/>
  <c r="I730" i="5"/>
  <c r="F87" i="5"/>
  <c r="R87" i="5"/>
  <c r="J1842" i="5"/>
  <c r="H1696" i="5"/>
  <c r="E1317" i="5"/>
  <c r="X1317" i="5" s="1"/>
  <c r="J1086" i="5"/>
  <c r="I524" i="5"/>
  <c r="R439" i="5"/>
  <c r="I293" i="5"/>
  <c r="J87" i="5"/>
  <c r="T87" i="5" s="1"/>
  <c r="G2342" i="5"/>
  <c r="B30" i="6"/>
  <c r="G30" i="6" s="1"/>
  <c r="B41" i="6"/>
  <c r="G41" i="6" s="1"/>
  <c r="B31" i="6"/>
  <c r="G31" i="6" s="1"/>
  <c r="J306" i="5"/>
  <c r="G644" i="5"/>
  <c r="E281"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F102" i="5"/>
  <c r="E2325" i="5"/>
  <c r="X2325" i="5" s="1"/>
  <c r="H2012" i="5"/>
  <c r="F640" i="5"/>
  <c r="E556" i="5"/>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T71" i="5" s="1"/>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F580" i="5"/>
  <c r="H836" i="5"/>
  <c r="J836" i="5"/>
  <c r="R1158" i="5"/>
  <c r="J1158" i="5"/>
  <c r="I1158" i="5"/>
  <c r="H215" i="5"/>
  <c r="E215" i="5"/>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H103" i="5"/>
  <c r="J103" i="5"/>
  <c r="R103" i="5"/>
  <c r="R314" i="5"/>
  <c r="H314" i="5"/>
  <c r="H207" i="5"/>
  <c r="E207" i="5"/>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J43" i="5"/>
  <c r="R43" i="5"/>
  <c r="H91" i="5"/>
  <c r="R91" i="5"/>
  <c r="E91" i="5"/>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I443" i="5"/>
  <c r="F443" i="5"/>
  <c r="H163" i="5"/>
  <c r="R163" i="5"/>
  <c r="J163" i="5"/>
  <c r="I163" i="5"/>
  <c r="F163" i="5"/>
  <c r="E163" i="5"/>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J576" i="5"/>
  <c r="F576" i="5"/>
  <c r="R576" i="5"/>
  <c r="E423" i="5"/>
  <c r="I423" i="5"/>
  <c r="F423" i="5"/>
  <c r="F379" i="5"/>
  <c r="I379" i="5"/>
  <c r="R297" i="5"/>
  <c r="F297" i="5"/>
  <c r="E297" i="5"/>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R596" i="5"/>
  <c r="J596" i="5"/>
  <c r="F596" i="5"/>
  <c r="I365" i="5"/>
  <c r="H365" i="5"/>
  <c r="F365" i="5"/>
  <c r="E365" i="5"/>
  <c r="R365" i="5"/>
  <c r="J365" i="5"/>
  <c r="H279" i="5"/>
  <c r="F279" i="5"/>
  <c r="E279" i="5"/>
  <c r="R279" i="5"/>
  <c r="J279" i="5"/>
  <c r="I279" i="5"/>
  <c r="R717" i="5"/>
  <c r="H717" i="5"/>
  <c r="H251" i="5"/>
  <c r="R251" i="5"/>
  <c r="J251" i="5"/>
  <c r="I251" i="5"/>
  <c r="F251" i="5"/>
  <c r="E251" i="5"/>
  <c r="R293" i="5"/>
  <c r="F293" i="5"/>
  <c r="E293" i="5"/>
  <c r="G251" i="5"/>
  <c r="J334" i="5"/>
  <c r="H334" i="5"/>
  <c r="E334" i="5"/>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I447" i="5"/>
  <c r="F447" i="5"/>
  <c r="E415" i="5"/>
  <c r="I415" i="5"/>
  <c r="F415" i="5"/>
  <c r="I752" i="5"/>
  <c r="F752" i="5"/>
  <c r="R602" i="5"/>
  <c r="F602" i="5"/>
  <c r="R261" i="5"/>
  <c r="E261" i="5"/>
  <c r="F261" i="5"/>
  <c r="R277" i="5"/>
  <c r="F277" i="5"/>
  <c r="E277" i="5"/>
  <c r="E600" i="5"/>
  <c r="R600" i="5"/>
  <c r="J600" i="5"/>
  <c r="T600" i="5" s="1"/>
  <c r="F600" i="5"/>
  <c r="H151" i="5"/>
  <c r="R151" i="5"/>
  <c r="J151" i="5"/>
  <c r="I151" i="5"/>
  <c r="F151" i="5"/>
  <c r="E151"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I407" i="5"/>
  <c r="F407" i="5"/>
  <c r="H287" i="5"/>
  <c r="R287" i="5"/>
  <c r="J287" i="5"/>
  <c r="I287" i="5"/>
  <c r="F287" i="5"/>
  <c r="E287" i="5"/>
  <c r="G423" i="5"/>
  <c r="E435" i="5"/>
  <c r="I435" i="5"/>
  <c r="F435" i="5"/>
  <c r="H211" i="5"/>
  <c r="R211" i="5"/>
  <c r="J211" i="5"/>
  <c r="I211" i="5"/>
  <c r="F211" i="5"/>
  <c r="E211"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J588" i="5"/>
  <c r="F588" i="5"/>
  <c r="R588" i="5"/>
  <c r="J650" i="5"/>
  <c r="R650" i="5"/>
  <c r="F650" i="5"/>
  <c r="I670" i="5"/>
  <c r="R670" i="5"/>
  <c r="J670" i="5"/>
  <c r="F670" i="5"/>
  <c r="E670" i="5"/>
  <c r="X670" i="5" s="1"/>
  <c r="E472" i="5"/>
  <c r="J472" i="5"/>
  <c r="H472" i="5"/>
  <c r="F472" i="5"/>
  <c r="R472" i="5"/>
  <c r="G472" i="5"/>
  <c r="E439" i="5"/>
  <c r="I439" i="5"/>
  <c r="F439" i="5"/>
  <c r="R305" i="5"/>
  <c r="J305" i="5"/>
  <c r="I305" i="5"/>
  <c r="H305" i="5"/>
  <c r="E305" i="5"/>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I419" i="5"/>
  <c r="F419" i="5"/>
  <c r="I395" i="5"/>
  <c r="F395" i="5"/>
  <c r="E411" i="5"/>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G814" i="5"/>
  <c r="G576" i="5"/>
  <c r="E431" i="5"/>
  <c r="I431" i="5"/>
  <c r="F431" i="5"/>
  <c r="E427" i="5"/>
  <c r="I427" i="5"/>
  <c r="F427" i="5"/>
  <c r="G443" i="5"/>
  <c r="G379" i="5"/>
  <c r="F26" i="6"/>
  <c r="X18" i="5"/>
  <c r="B52" i="6"/>
  <c r="G52" i="6" s="1"/>
  <c r="B37" i="6"/>
  <c r="G37" i="6" s="1"/>
  <c r="B42" i="6"/>
  <c r="G42" i="6" s="1"/>
  <c r="B40" i="6"/>
  <c r="G40" i="6" s="1"/>
  <c r="B50" i="6"/>
  <c r="G50" i="6" s="1"/>
  <c r="B25" i="6"/>
  <c r="G25" i="6" s="1"/>
  <c r="B35" i="6"/>
  <c r="G35" i="6" s="1"/>
  <c r="X6" i="5"/>
  <c r="B39" i="6"/>
  <c r="G39" i="6" s="1"/>
  <c r="F24" i="6"/>
  <c r="C14" i="6"/>
  <c r="B44" i="6"/>
  <c r="G44" i="6" s="1"/>
  <c r="G32" i="6"/>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R605" i="5"/>
  <c r="J605" i="5"/>
  <c r="T605" i="5" s="1"/>
  <c r="E595" i="5"/>
  <c r="R595" i="5"/>
  <c r="J595" i="5"/>
  <c r="F595" i="5"/>
  <c r="I595" i="5"/>
  <c r="H595" i="5"/>
  <c r="R583" i="5"/>
  <c r="J583" i="5"/>
  <c r="F583" i="5"/>
  <c r="I583" i="5"/>
  <c r="H583" i="5"/>
  <c r="E583" i="5"/>
  <c r="R567" i="5"/>
  <c r="J567" i="5"/>
  <c r="F567" i="5"/>
  <c r="I567" i="5"/>
  <c r="H567" i="5"/>
  <c r="E567" i="5"/>
  <c r="F529" i="5"/>
  <c r="R529" i="5"/>
  <c r="J529" i="5"/>
  <c r="I529" i="5"/>
  <c r="H529" i="5"/>
  <c r="E529" i="5"/>
  <c r="I486" i="5"/>
  <c r="H486" i="5"/>
  <c r="E486" i="5"/>
  <c r="F486" i="5"/>
  <c r="R486" i="5"/>
  <c r="J486" i="5"/>
  <c r="R467" i="5"/>
  <c r="J467" i="5"/>
  <c r="G467" i="5"/>
  <c r="F467" i="5"/>
  <c r="E467" i="5"/>
  <c r="I467" i="5"/>
  <c r="H467" i="5"/>
  <c r="F521" i="5"/>
  <c r="R521" i="5"/>
  <c r="J521" i="5"/>
  <c r="I521" i="5"/>
  <c r="H521" i="5"/>
  <c r="E521" i="5"/>
  <c r="F469" i="5"/>
  <c r="J469" i="5"/>
  <c r="I469" i="5"/>
  <c r="H469" i="5"/>
  <c r="E469" i="5"/>
  <c r="R469" i="5"/>
  <c r="F541" i="5"/>
  <c r="R541" i="5"/>
  <c r="J541" i="5"/>
  <c r="I541" i="5"/>
  <c r="H541" i="5"/>
  <c r="E541" i="5"/>
  <c r="F509" i="5"/>
  <c r="R509" i="5"/>
  <c r="J509" i="5"/>
  <c r="I509" i="5"/>
  <c r="H509" i="5"/>
  <c r="E509" i="5"/>
  <c r="I466" i="5"/>
  <c r="H466" i="5"/>
  <c r="R466" i="5"/>
  <c r="J466" i="5"/>
  <c r="F466" i="5"/>
  <c r="E466" i="5"/>
  <c r="R378" i="5"/>
  <c r="I378" i="5"/>
  <c r="H378" i="5"/>
  <c r="F378" i="5"/>
  <c r="G378" i="5"/>
  <c r="J378" i="5"/>
  <c r="E378" i="5"/>
  <c r="E340" i="5"/>
  <c r="J340" i="5"/>
  <c r="R340" i="5"/>
  <c r="I340" i="5"/>
  <c r="H340" i="5"/>
  <c r="F340" i="5"/>
  <c r="R394" i="5"/>
  <c r="J394" i="5"/>
  <c r="I394" i="5"/>
  <c r="H394" i="5"/>
  <c r="F394" i="5"/>
  <c r="E394" i="5"/>
  <c r="G394" i="5"/>
  <c r="R374" i="5"/>
  <c r="I374" i="5"/>
  <c r="H374" i="5"/>
  <c r="F374" i="5"/>
  <c r="J374" i="5"/>
  <c r="G374" i="5"/>
  <c r="E374" i="5"/>
  <c r="E355" i="5"/>
  <c r="R355" i="5"/>
  <c r="J355" i="5"/>
  <c r="H355" i="5"/>
  <c r="F355" i="5"/>
  <c r="I355" i="5"/>
  <c r="E324" i="5"/>
  <c r="J324" i="5"/>
  <c r="R324" i="5"/>
  <c r="H324" i="5"/>
  <c r="G324" i="5"/>
  <c r="F324" i="5"/>
  <c r="I324" i="5"/>
  <c r="J300" i="5"/>
  <c r="I300" i="5"/>
  <c r="H300" i="5"/>
  <c r="F300" i="5"/>
  <c r="E300" i="5"/>
  <c r="R300" i="5"/>
  <c r="J292" i="5"/>
  <c r="I292" i="5"/>
  <c r="H292" i="5"/>
  <c r="F292" i="5"/>
  <c r="E292" i="5"/>
  <c r="R292" i="5"/>
  <c r="J284" i="5"/>
  <c r="I284" i="5"/>
  <c r="H284" i="5"/>
  <c r="F284" i="5"/>
  <c r="E284" i="5"/>
  <c r="R284" i="5"/>
  <c r="J276" i="5"/>
  <c r="I276" i="5"/>
  <c r="H276" i="5"/>
  <c r="F276" i="5"/>
  <c r="E276" i="5"/>
  <c r="R276" i="5"/>
  <c r="J268" i="5"/>
  <c r="I268" i="5"/>
  <c r="H268" i="5"/>
  <c r="F268" i="5"/>
  <c r="E268" i="5"/>
  <c r="R268" i="5"/>
  <c r="J260" i="5"/>
  <c r="I260" i="5"/>
  <c r="H260" i="5"/>
  <c r="F260" i="5"/>
  <c r="E260" i="5"/>
  <c r="R260" i="5"/>
  <c r="J252" i="5"/>
  <c r="I252" i="5"/>
  <c r="H252" i="5"/>
  <c r="F252" i="5"/>
  <c r="E252" i="5"/>
  <c r="R252" i="5"/>
  <c r="J244" i="5"/>
  <c r="T244" i="5" s="1"/>
  <c r="I244" i="5"/>
  <c r="H244" i="5"/>
  <c r="F244" i="5"/>
  <c r="E244" i="5"/>
  <c r="R244" i="5"/>
  <c r="J236" i="5"/>
  <c r="I236" i="5"/>
  <c r="H236" i="5"/>
  <c r="F236" i="5"/>
  <c r="E236" i="5"/>
  <c r="R236" i="5"/>
  <c r="J228" i="5"/>
  <c r="I228" i="5"/>
  <c r="H228" i="5"/>
  <c r="F228" i="5"/>
  <c r="E228" i="5"/>
  <c r="R228" i="5"/>
  <c r="J132" i="5"/>
  <c r="H132" i="5"/>
  <c r="F132" i="5"/>
  <c r="R132" i="5"/>
  <c r="I132" i="5"/>
  <c r="E132" i="5"/>
  <c r="R402" i="5"/>
  <c r="J402" i="5"/>
  <c r="I402" i="5"/>
  <c r="H402" i="5"/>
  <c r="F402" i="5"/>
  <c r="E402" i="5"/>
  <c r="G355" i="5"/>
  <c r="J204" i="5"/>
  <c r="H204" i="5"/>
  <c r="F204" i="5"/>
  <c r="I204" i="5"/>
  <c r="E204" i="5"/>
  <c r="R204" i="5"/>
  <c r="J116" i="5"/>
  <c r="H116" i="5"/>
  <c r="F116" i="5"/>
  <c r="R116" i="5"/>
  <c r="I116" i="5"/>
  <c r="E116" i="5"/>
  <c r="J104" i="5"/>
  <c r="H104" i="5"/>
  <c r="F104" i="5"/>
  <c r="R104" i="5"/>
  <c r="I104" i="5"/>
  <c r="E104"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R601" i="5"/>
  <c r="J601" i="5"/>
  <c r="T601" i="5" s="1"/>
  <c r="G595" i="5"/>
  <c r="G583" i="5"/>
  <c r="G567" i="5"/>
  <c r="E591" i="5"/>
  <c r="R591" i="5"/>
  <c r="J591" i="5"/>
  <c r="F591" i="5"/>
  <c r="I591" i="5"/>
  <c r="H591" i="5"/>
  <c r="H577" i="5"/>
  <c r="F577" i="5"/>
  <c r="R577" i="5"/>
  <c r="J577" i="5"/>
  <c r="E577" i="5"/>
  <c r="I577" i="5"/>
  <c r="I534" i="5"/>
  <c r="H534" i="5"/>
  <c r="E534" i="5"/>
  <c r="F534" i="5"/>
  <c r="R534" i="5"/>
  <c r="J534" i="5"/>
  <c r="F537" i="5"/>
  <c r="R537" i="5"/>
  <c r="J537" i="5"/>
  <c r="I537" i="5"/>
  <c r="H537" i="5"/>
  <c r="E537" i="5"/>
  <c r="I538" i="5"/>
  <c r="H538" i="5"/>
  <c r="E538" i="5"/>
  <c r="J538" i="5"/>
  <c r="G538" i="5"/>
  <c r="F538" i="5"/>
  <c r="R538" i="5"/>
  <c r="I522" i="5"/>
  <c r="H522" i="5"/>
  <c r="E522" i="5"/>
  <c r="J522" i="5"/>
  <c r="G522" i="5"/>
  <c r="F522" i="5"/>
  <c r="R522" i="5"/>
  <c r="I506" i="5"/>
  <c r="H506" i="5"/>
  <c r="E506" i="5"/>
  <c r="J506" i="5"/>
  <c r="G506" i="5"/>
  <c r="F506" i="5"/>
  <c r="R506" i="5"/>
  <c r="I490" i="5"/>
  <c r="H490" i="5"/>
  <c r="E490" i="5"/>
  <c r="J490" i="5"/>
  <c r="G490" i="5"/>
  <c r="F490" i="5"/>
  <c r="R490" i="5"/>
  <c r="R398" i="5"/>
  <c r="J398" i="5"/>
  <c r="I398" i="5"/>
  <c r="H398" i="5"/>
  <c r="F398" i="5"/>
  <c r="G398" i="5"/>
  <c r="E398" i="5"/>
  <c r="R362" i="5"/>
  <c r="I362" i="5"/>
  <c r="H362" i="5"/>
  <c r="F362" i="5"/>
  <c r="J362" i="5"/>
  <c r="G362" i="5"/>
  <c r="E362" i="5"/>
  <c r="J184" i="5"/>
  <c r="H184" i="5"/>
  <c r="F184" i="5"/>
  <c r="E184" i="5"/>
  <c r="R184" i="5"/>
  <c r="I184" i="5"/>
  <c r="E328" i="5"/>
  <c r="J328" i="5"/>
  <c r="F328" i="5"/>
  <c r="R328" i="5"/>
  <c r="I328" i="5"/>
  <c r="H328" i="5"/>
  <c r="J220" i="5"/>
  <c r="I220" i="5"/>
  <c r="H220" i="5"/>
  <c r="F220" i="5"/>
  <c r="E220" i="5"/>
  <c r="R220" i="5"/>
  <c r="J176" i="5"/>
  <c r="H176" i="5"/>
  <c r="F176" i="5"/>
  <c r="R176" i="5"/>
  <c r="I176" i="5"/>
  <c r="E176"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R611" i="5"/>
  <c r="J611" i="5"/>
  <c r="T611" i="5" s="1"/>
  <c r="I611" i="5"/>
  <c r="H611" i="5"/>
  <c r="F611" i="5"/>
  <c r="I502" i="5"/>
  <c r="H502" i="5"/>
  <c r="E502" i="5"/>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F518" i="5"/>
  <c r="R518" i="5"/>
  <c r="J518" i="5"/>
  <c r="F493" i="5"/>
  <c r="R493" i="5"/>
  <c r="J493" i="5"/>
  <c r="I493" i="5"/>
  <c r="H493" i="5"/>
  <c r="E493" i="5"/>
  <c r="G502" i="5"/>
  <c r="E442" i="5"/>
  <c r="R442" i="5"/>
  <c r="J442" i="5"/>
  <c r="I442" i="5"/>
  <c r="H442" i="5"/>
  <c r="G442" i="5"/>
  <c r="F442" i="5"/>
  <c r="R410" i="5"/>
  <c r="J410" i="5"/>
  <c r="I410" i="5"/>
  <c r="H410" i="5"/>
  <c r="F410" i="5"/>
  <c r="G410" i="5"/>
  <c r="E410" i="5"/>
  <c r="J216" i="5"/>
  <c r="I216" i="5"/>
  <c r="H216" i="5"/>
  <c r="F216" i="5"/>
  <c r="E216" i="5"/>
  <c r="R216" i="5"/>
  <c r="J120" i="5"/>
  <c r="H120" i="5"/>
  <c r="F120" i="5"/>
  <c r="E120" i="5"/>
  <c r="R120" i="5"/>
  <c r="I120" i="5"/>
  <c r="J140" i="5"/>
  <c r="H140" i="5"/>
  <c r="F140" i="5"/>
  <c r="I140" i="5"/>
  <c r="E140" i="5"/>
  <c r="R140" i="5"/>
  <c r="J192" i="5"/>
  <c r="H192" i="5"/>
  <c r="F192" i="5"/>
  <c r="R192" i="5"/>
  <c r="I192" i="5"/>
  <c r="E192" i="5"/>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I575" i="5"/>
  <c r="H575" i="5"/>
  <c r="F545" i="5"/>
  <c r="R545" i="5"/>
  <c r="J545" i="5"/>
  <c r="I545" i="5"/>
  <c r="H545" i="5"/>
  <c r="E545" i="5"/>
  <c r="F473" i="5"/>
  <c r="R473" i="5"/>
  <c r="J473" i="5"/>
  <c r="I473" i="5"/>
  <c r="H473" i="5"/>
  <c r="E473" i="5"/>
  <c r="F517" i="5"/>
  <c r="R517" i="5"/>
  <c r="H517" i="5"/>
  <c r="E517" i="5"/>
  <c r="J517" i="5"/>
  <c r="I517" i="5"/>
  <c r="R475" i="5"/>
  <c r="J475" i="5"/>
  <c r="G475" i="5"/>
  <c r="F475" i="5"/>
  <c r="E475" i="5"/>
  <c r="I475" i="5"/>
  <c r="H475" i="5"/>
  <c r="F525" i="5"/>
  <c r="R525" i="5"/>
  <c r="J525" i="5"/>
  <c r="I525" i="5"/>
  <c r="H525" i="5"/>
  <c r="E525" i="5"/>
  <c r="F477" i="5"/>
  <c r="R477" i="5"/>
  <c r="J477" i="5"/>
  <c r="I477" i="5"/>
  <c r="H477" i="5"/>
  <c r="E477" i="5"/>
  <c r="H585" i="5"/>
  <c r="F585" i="5"/>
  <c r="R585" i="5"/>
  <c r="J585" i="5"/>
  <c r="I585" i="5"/>
  <c r="E585" i="5"/>
  <c r="R346" i="5"/>
  <c r="I346" i="5"/>
  <c r="H346" i="5"/>
  <c r="F346" i="5"/>
  <c r="G346" i="5"/>
  <c r="J346" i="5"/>
  <c r="E346" i="5"/>
  <c r="R366" i="5"/>
  <c r="I366" i="5"/>
  <c r="H366" i="5"/>
  <c r="F366" i="5"/>
  <c r="J366" i="5"/>
  <c r="E366" i="5"/>
  <c r="G366" i="5"/>
  <c r="R390" i="5"/>
  <c r="J390" i="5"/>
  <c r="I390" i="5"/>
  <c r="H390" i="5"/>
  <c r="F390" i="5"/>
  <c r="E390" i="5"/>
  <c r="R386" i="5"/>
  <c r="J386" i="5"/>
  <c r="I386" i="5"/>
  <c r="H386" i="5"/>
  <c r="F386" i="5"/>
  <c r="G386" i="5"/>
  <c r="E386" i="5"/>
  <c r="E367" i="5"/>
  <c r="R367" i="5"/>
  <c r="J367" i="5"/>
  <c r="H367" i="5"/>
  <c r="I367" i="5"/>
  <c r="F367" i="5"/>
  <c r="G367" i="5"/>
  <c r="R342" i="5"/>
  <c r="I342" i="5"/>
  <c r="H342" i="5"/>
  <c r="F342" i="5"/>
  <c r="J342" i="5"/>
  <c r="G342" i="5"/>
  <c r="E342" i="5"/>
  <c r="J296" i="5"/>
  <c r="I296" i="5"/>
  <c r="H296" i="5"/>
  <c r="F296" i="5"/>
  <c r="E296" i="5"/>
  <c r="R296" i="5"/>
  <c r="J288" i="5"/>
  <c r="I288" i="5"/>
  <c r="H288" i="5"/>
  <c r="F288" i="5"/>
  <c r="E288" i="5"/>
  <c r="R288" i="5"/>
  <c r="J280" i="5"/>
  <c r="I280" i="5"/>
  <c r="H280" i="5"/>
  <c r="F280" i="5"/>
  <c r="E280" i="5"/>
  <c r="R280" i="5"/>
  <c r="J272" i="5"/>
  <c r="I272" i="5"/>
  <c r="H272" i="5"/>
  <c r="F272" i="5"/>
  <c r="E272" i="5"/>
  <c r="R272" i="5"/>
  <c r="J264" i="5"/>
  <c r="I264" i="5"/>
  <c r="H264" i="5"/>
  <c r="F264" i="5"/>
  <c r="E264" i="5"/>
  <c r="R264" i="5"/>
  <c r="J256" i="5"/>
  <c r="I256" i="5"/>
  <c r="H256" i="5"/>
  <c r="F256" i="5"/>
  <c r="E256" i="5"/>
  <c r="R256" i="5"/>
  <c r="J248" i="5"/>
  <c r="I248" i="5"/>
  <c r="H248" i="5"/>
  <c r="F248" i="5"/>
  <c r="E248" i="5"/>
  <c r="R248" i="5"/>
  <c r="J240" i="5"/>
  <c r="I240" i="5"/>
  <c r="H240" i="5"/>
  <c r="F240" i="5"/>
  <c r="E240" i="5"/>
  <c r="R240" i="5"/>
  <c r="J232" i="5"/>
  <c r="I232" i="5"/>
  <c r="H232" i="5"/>
  <c r="F232" i="5"/>
  <c r="E232" i="5"/>
  <c r="R232" i="5"/>
  <c r="J224" i="5"/>
  <c r="I224" i="5"/>
  <c r="H224" i="5"/>
  <c r="F224" i="5"/>
  <c r="E224" i="5"/>
  <c r="R224" i="5"/>
  <c r="R382" i="5"/>
  <c r="I382" i="5"/>
  <c r="H382" i="5"/>
  <c r="F382" i="5"/>
  <c r="J382" i="5"/>
  <c r="T382" i="5" s="1"/>
  <c r="G382" i="5"/>
  <c r="E382" i="5"/>
  <c r="E359" i="5"/>
  <c r="R359" i="5"/>
  <c r="J359" i="5"/>
  <c r="H359" i="5"/>
  <c r="F359" i="5"/>
  <c r="I359" i="5"/>
  <c r="J196" i="5"/>
  <c r="H196" i="5"/>
  <c r="F196" i="5"/>
  <c r="R196" i="5"/>
  <c r="I196" i="5"/>
  <c r="E196" i="5"/>
  <c r="J208" i="5"/>
  <c r="H208" i="5"/>
  <c r="F208" i="5"/>
  <c r="E208" i="5"/>
  <c r="I208" i="5"/>
  <c r="R208" i="5"/>
  <c r="J144" i="5"/>
  <c r="H144" i="5"/>
  <c r="F144" i="5"/>
  <c r="R144" i="5"/>
  <c r="I144" i="5"/>
  <c r="E144"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R603" i="5"/>
  <c r="J603" i="5"/>
  <c r="T603" i="5" s="1"/>
  <c r="I603" i="5"/>
  <c r="H603" i="5"/>
  <c r="F603" i="5"/>
  <c r="H565" i="5"/>
  <c r="F565" i="5"/>
  <c r="R565" i="5"/>
  <c r="J565" i="5"/>
  <c r="I565" i="5"/>
  <c r="E565" i="5"/>
  <c r="F501" i="5"/>
  <c r="R501" i="5"/>
  <c r="H501" i="5"/>
  <c r="E501" i="5"/>
  <c r="J501" i="5"/>
  <c r="I501" i="5"/>
  <c r="H557" i="5"/>
  <c r="F557" i="5"/>
  <c r="R557" i="5"/>
  <c r="J557" i="5"/>
  <c r="I557" i="5"/>
  <c r="E557" i="5"/>
  <c r="I462" i="5"/>
  <c r="R462" i="5"/>
  <c r="J462" i="5"/>
  <c r="H462" i="5"/>
  <c r="F462" i="5"/>
  <c r="E462" i="5"/>
  <c r="E460" i="5"/>
  <c r="R460" i="5"/>
  <c r="J460" i="5"/>
  <c r="I460" i="5"/>
  <c r="H460" i="5"/>
  <c r="F460" i="5"/>
  <c r="E375" i="5"/>
  <c r="R375" i="5"/>
  <c r="J375" i="5"/>
  <c r="H375" i="5"/>
  <c r="I375" i="5"/>
  <c r="G375" i="5"/>
  <c r="F375" i="5"/>
  <c r="J124" i="5"/>
  <c r="H124" i="5"/>
  <c r="F124" i="5"/>
  <c r="R124" i="5"/>
  <c r="I124" i="5"/>
  <c r="E124" i="5"/>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F465" i="5"/>
  <c r="R465" i="5"/>
  <c r="J465" i="5"/>
  <c r="I465" i="5"/>
  <c r="H465" i="5"/>
  <c r="E465" i="5"/>
  <c r="H561" i="5"/>
  <c r="F561" i="5"/>
  <c r="R561" i="5"/>
  <c r="E561" i="5"/>
  <c r="J561" i="5"/>
  <c r="I561" i="5"/>
  <c r="H549" i="5"/>
  <c r="F549" i="5"/>
  <c r="R549" i="5"/>
  <c r="I549" i="5"/>
  <c r="E549" i="5"/>
  <c r="J549" i="5"/>
  <c r="F489" i="5"/>
  <c r="R489" i="5"/>
  <c r="J489" i="5"/>
  <c r="I489" i="5"/>
  <c r="H489" i="5"/>
  <c r="E489" i="5"/>
  <c r="E434" i="5"/>
  <c r="R434" i="5"/>
  <c r="J434" i="5"/>
  <c r="I434" i="5"/>
  <c r="H434" i="5"/>
  <c r="G434" i="5"/>
  <c r="F434" i="5"/>
  <c r="E426" i="5"/>
  <c r="R426" i="5"/>
  <c r="J426" i="5"/>
  <c r="I426" i="5"/>
  <c r="H426" i="5"/>
  <c r="G426" i="5"/>
  <c r="F426" i="5"/>
  <c r="R370" i="5"/>
  <c r="I370" i="5"/>
  <c r="H370" i="5"/>
  <c r="F370" i="5"/>
  <c r="J370" i="5"/>
  <c r="E370" i="5"/>
  <c r="R358" i="5"/>
  <c r="I358" i="5"/>
  <c r="H358" i="5"/>
  <c r="F358" i="5"/>
  <c r="E358" i="5"/>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R607" i="5"/>
  <c r="J607" i="5"/>
  <c r="T607" i="5" s="1"/>
  <c r="I607" i="5"/>
  <c r="H607" i="5"/>
  <c r="F607" i="5"/>
  <c r="E599" i="5"/>
  <c r="R599" i="5"/>
  <c r="J599" i="5"/>
  <c r="T599" i="5" s="1"/>
  <c r="I599" i="5"/>
  <c r="H599" i="5"/>
  <c r="F599" i="5"/>
  <c r="G545" i="5"/>
  <c r="F513" i="5"/>
  <c r="R513" i="5"/>
  <c r="J513" i="5"/>
  <c r="I513" i="5"/>
  <c r="H513" i="5"/>
  <c r="E513" i="5"/>
  <c r="G473" i="5"/>
  <c r="G517" i="5"/>
  <c r="J554" i="5"/>
  <c r="I554" i="5"/>
  <c r="H554" i="5"/>
  <c r="E554" i="5"/>
  <c r="R554" i="5"/>
  <c r="F554" i="5"/>
  <c r="H581" i="5"/>
  <c r="F581" i="5"/>
  <c r="R581" i="5"/>
  <c r="J581" i="5"/>
  <c r="I581" i="5"/>
  <c r="E581" i="5"/>
  <c r="F505" i="5"/>
  <c r="R505" i="5"/>
  <c r="J505" i="5"/>
  <c r="I505" i="5"/>
  <c r="H505" i="5"/>
  <c r="E505" i="5"/>
  <c r="G525" i="5"/>
  <c r="G477" i="5"/>
  <c r="I597" i="5"/>
  <c r="H597" i="5"/>
  <c r="F597" i="5"/>
  <c r="R597" i="5"/>
  <c r="J597" i="5"/>
  <c r="T597" i="5" s="1"/>
  <c r="E597" i="5"/>
  <c r="G585" i="5"/>
  <c r="G518" i="5"/>
  <c r="G390" i="5"/>
  <c r="R354" i="5"/>
  <c r="I354" i="5"/>
  <c r="H354" i="5"/>
  <c r="F354" i="5"/>
  <c r="E354" i="5"/>
  <c r="J354" i="5"/>
  <c r="G288" i="5"/>
  <c r="G256" i="5"/>
  <c r="G224" i="5"/>
  <c r="E316" i="5"/>
  <c r="J316" i="5"/>
  <c r="R316" i="5"/>
  <c r="H316" i="5"/>
  <c r="G316" i="5"/>
  <c r="F316" i="5"/>
  <c r="I316" i="5"/>
  <c r="G196" i="5"/>
  <c r="G208" i="5"/>
  <c r="J172" i="5"/>
  <c r="H172" i="5"/>
  <c r="F172" i="5"/>
  <c r="I172" i="5"/>
  <c r="E172" i="5"/>
  <c r="R172" i="5"/>
  <c r="J160" i="5"/>
  <c r="H160" i="5"/>
  <c r="F160" i="5"/>
  <c r="R160" i="5"/>
  <c r="I160" i="5"/>
  <c r="E160" i="5"/>
  <c r="J180" i="5"/>
  <c r="H180" i="5"/>
  <c r="F180" i="5"/>
  <c r="R180" i="5"/>
  <c r="I180" i="5"/>
  <c r="E180" i="5"/>
  <c r="J200" i="5"/>
  <c r="H200" i="5"/>
  <c r="F200" i="5"/>
  <c r="R200" i="5"/>
  <c r="I200" i="5"/>
  <c r="E200" i="5"/>
  <c r="J156" i="5"/>
  <c r="H156" i="5"/>
  <c r="F156" i="5"/>
  <c r="R156" i="5"/>
  <c r="I156" i="5"/>
  <c r="E156" i="5"/>
  <c r="G144" i="5"/>
  <c r="E308" i="5"/>
  <c r="J308" i="5"/>
  <c r="R308" i="5"/>
  <c r="H308" i="5"/>
  <c r="G308" i="5"/>
  <c r="F308" i="5"/>
  <c r="I308" i="5"/>
  <c r="J100" i="5"/>
  <c r="H100" i="5"/>
  <c r="F100" i="5"/>
  <c r="E100" i="5"/>
  <c r="R100" i="5"/>
  <c r="I100" i="5"/>
  <c r="G100" i="5"/>
  <c r="E312" i="5"/>
  <c r="J312" i="5"/>
  <c r="F312" i="5"/>
  <c r="R312" i="5"/>
  <c r="I312" i="5"/>
  <c r="H312" i="5"/>
  <c r="J188" i="5"/>
  <c r="H188" i="5"/>
  <c r="F188" i="5"/>
  <c r="R188" i="5"/>
  <c r="I188" i="5"/>
  <c r="E188"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E458" i="5"/>
  <c r="R458" i="5"/>
  <c r="J458" i="5"/>
  <c r="I458" i="5"/>
  <c r="H458" i="5"/>
  <c r="G458" i="5"/>
  <c r="F458" i="5"/>
  <c r="E450" i="5"/>
  <c r="R450" i="5"/>
  <c r="J450" i="5"/>
  <c r="I450" i="5"/>
  <c r="H450" i="5"/>
  <c r="G450" i="5"/>
  <c r="F450" i="5"/>
  <c r="E418" i="5"/>
  <c r="R418" i="5"/>
  <c r="J418" i="5"/>
  <c r="I418" i="5"/>
  <c r="H418" i="5"/>
  <c r="G418" i="5"/>
  <c r="F418" i="5"/>
  <c r="R406" i="5"/>
  <c r="J406" i="5"/>
  <c r="I406" i="5"/>
  <c r="H406" i="5"/>
  <c r="F406" i="5"/>
  <c r="E406" i="5"/>
  <c r="J148" i="5"/>
  <c r="H148" i="5"/>
  <c r="F148" i="5"/>
  <c r="R148" i="5"/>
  <c r="I148" i="5"/>
  <c r="E148" i="5"/>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I587" i="5"/>
  <c r="R571" i="5"/>
  <c r="J571" i="5"/>
  <c r="F571" i="5"/>
  <c r="I571" i="5"/>
  <c r="H571" i="5"/>
  <c r="E571" i="5"/>
  <c r="H589" i="5"/>
  <c r="F589" i="5"/>
  <c r="R589" i="5"/>
  <c r="J589" i="5"/>
  <c r="I589" i="5"/>
  <c r="E589" i="5"/>
  <c r="F485" i="5"/>
  <c r="R485" i="5"/>
  <c r="H485" i="5"/>
  <c r="E485" i="5"/>
  <c r="J485" i="5"/>
  <c r="I485" i="5"/>
  <c r="G460" i="5"/>
  <c r="H553" i="5"/>
  <c r="F553" i="5"/>
  <c r="R553" i="5"/>
  <c r="J553" i="5"/>
  <c r="I553" i="5"/>
  <c r="E553" i="5"/>
  <c r="E454" i="5"/>
  <c r="R454" i="5"/>
  <c r="J454" i="5"/>
  <c r="I454" i="5"/>
  <c r="H454" i="5"/>
  <c r="G454" i="5"/>
  <c r="F454" i="5"/>
  <c r="E446" i="5"/>
  <c r="R446" i="5"/>
  <c r="J446" i="5"/>
  <c r="I446" i="5"/>
  <c r="H446" i="5"/>
  <c r="G446" i="5"/>
  <c r="F446" i="5"/>
  <c r="E438" i="5"/>
  <c r="R438" i="5"/>
  <c r="J438" i="5"/>
  <c r="I438" i="5"/>
  <c r="H438" i="5"/>
  <c r="G438" i="5"/>
  <c r="F438" i="5"/>
  <c r="E430" i="5"/>
  <c r="R430" i="5"/>
  <c r="J430" i="5"/>
  <c r="I430" i="5"/>
  <c r="H430" i="5"/>
  <c r="G430" i="5"/>
  <c r="F430" i="5"/>
  <c r="E422" i="5"/>
  <c r="R422" i="5"/>
  <c r="J422" i="5"/>
  <c r="I422" i="5"/>
  <c r="H422" i="5"/>
  <c r="G422" i="5"/>
  <c r="F422" i="5"/>
  <c r="E414" i="5"/>
  <c r="R414" i="5"/>
  <c r="J414" i="5"/>
  <c r="I414" i="5"/>
  <c r="H414" i="5"/>
  <c r="F414" i="5"/>
  <c r="G414" i="5"/>
  <c r="J164" i="5"/>
  <c r="H164" i="5"/>
  <c r="F164" i="5"/>
  <c r="R164" i="5"/>
  <c r="I164" i="5"/>
  <c r="E164" i="5"/>
  <c r="E339" i="5"/>
  <c r="R339" i="5"/>
  <c r="H339" i="5"/>
  <c r="F339" i="5"/>
  <c r="J339" i="5"/>
  <c r="I339" i="5"/>
  <c r="J152" i="5"/>
  <c r="H152" i="5"/>
  <c r="F152" i="5"/>
  <c r="E152" i="5"/>
  <c r="R152" i="5"/>
  <c r="I152" i="5"/>
  <c r="J212" i="5"/>
  <c r="I212" i="5"/>
  <c r="H212" i="5"/>
  <c r="F212" i="5"/>
  <c r="E212" i="5"/>
  <c r="R212" i="5"/>
  <c r="J168" i="5"/>
  <c r="H168" i="5"/>
  <c r="F168" i="5"/>
  <c r="R168" i="5"/>
  <c r="I168" i="5"/>
  <c r="E168" i="5"/>
  <c r="A16" i="6"/>
  <c r="B34" i="4"/>
  <c r="A21" i="6" s="1"/>
  <c r="F44" i="6"/>
  <c r="H44" i="6" s="1"/>
  <c r="D44" i="6" s="1"/>
  <c r="F34" i="6"/>
  <c r="F39" i="6"/>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F481" i="5"/>
  <c r="R481" i="5"/>
  <c r="J481" i="5"/>
  <c r="I481" i="5"/>
  <c r="H481" i="5"/>
  <c r="E481" i="5"/>
  <c r="G589" i="5"/>
  <c r="F533" i="5"/>
  <c r="R533" i="5"/>
  <c r="H533" i="5"/>
  <c r="E533" i="5"/>
  <c r="J533" i="5"/>
  <c r="T533" i="5" s="1"/>
  <c r="I533" i="5"/>
  <c r="G485" i="5"/>
  <c r="H569" i="5"/>
  <c r="F569" i="5"/>
  <c r="R569" i="5"/>
  <c r="J569" i="5"/>
  <c r="I569" i="5"/>
  <c r="E569" i="5"/>
  <c r="H573" i="5"/>
  <c r="F573" i="5"/>
  <c r="R573" i="5"/>
  <c r="J573" i="5"/>
  <c r="I573" i="5"/>
  <c r="E573" i="5"/>
  <c r="I474" i="5"/>
  <c r="H474" i="5"/>
  <c r="R474" i="5"/>
  <c r="J474" i="5"/>
  <c r="F474" i="5"/>
  <c r="E474" i="5"/>
  <c r="G553" i="5"/>
  <c r="G296" i="5"/>
  <c r="G264" i="5"/>
  <c r="G232" i="5"/>
  <c r="R350" i="5"/>
  <c r="I350" i="5"/>
  <c r="H350" i="5"/>
  <c r="F350" i="5"/>
  <c r="J350" i="5"/>
  <c r="E350" i="5"/>
  <c r="G164" i="5"/>
  <c r="G152" i="5"/>
  <c r="J108" i="5"/>
  <c r="H108" i="5"/>
  <c r="F108" i="5"/>
  <c r="I108" i="5"/>
  <c r="E108" i="5"/>
  <c r="R108" i="5"/>
  <c r="G212" i="5"/>
  <c r="J128" i="5"/>
  <c r="H128" i="5"/>
  <c r="F128" i="5"/>
  <c r="R128" i="5"/>
  <c r="I128" i="5"/>
  <c r="E128" i="5"/>
  <c r="G168" i="5"/>
  <c r="J136" i="5"/>
  <c r="H136" i="5"/>
  <c r="F136" i="5"/>
  <c r="R136" i="5"/>
  <c r="I136" i="5"/>
  <c r="E136" i="5"/>
  <c r="E320" i="5"/>
  <c r="J320" i="5"/>
  <c r="F320" i="5"/>
  <c r="R320" i="5"/>
  <c r="I320" i="5"/>
  <c r="H320" i="5"/>
  <c r="J112" i="5"/>
  <c r="H112" i="5"/>
  <c r="F112" i="5"/>
  <c r="R112" i="5"/>
  <c r="I112" i="5"/>
  <c r="E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589" i="5" l="1"/>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s="1"/>
  <c r="H26" i="6"/>
  <c r="H24" i="6"/>
  <c r="C24" i="6" s="1"/>
  <c r="H35" i="6"/>
  <c r="D35" i="6" s="1"/>
  <c r="H40" i="6"/>
  <c r="D40" i="6" s="1"/>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X100" i="5"/>
  <c r="D27" i="6"/>
  <c r="C27" i="6"/>
  <c r="C36" i="6"/>
  <c r="C42" i="6"/>
  <c r="C41" i="6"/>
  <c r="C20" i="6"/>
  <c r="D20" i="6"/>
  <c r="C2" i="6"/>
  <c r="B2" i="6"/>
  <c r="F57" i="6"/>
  <c r="H57" i="6" s="1"/>
  <c r="H54" i="6"/>
  <c r="F62" i="6"/>
  <c r="H62" i="6" s="1"/>
  <c r="F58" i="6"/>
  <c r="H58" i="6" s="1"/>
  <c r="F60" i="6"/>
  <c r="H60" i="6" s="1"/>
  <c r="F63" i="6"/>
  <c r="H63" i="6" s="1"/>
  <c r="F59" i="6"/>
  <c r="H59" i="6" s="1"/>
  <c r="F55" i="6"/>
  <c r="C37" i="6"/>
  <c r="D25" i="6"/>
  <c r="C25" i="6"/>
  <c r="D26" i="6"/>
  <c r="C26" i="6"/>
  <c r="D21" i="6"/>
  <c r="C21" i="6"/>
  <c r="D22" i="6"/>
  <c r="C22" i="6"/>
  <c r="H47" i="6"/>
  <c r="D47" i="6" s="1"/>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C40" i="6" l="1"/>
  <c r="D24" i="6"/>
  <c r="G68" i="6"/>
  <c r="H68" i="6" s="1"/>
  <c r="D68" i="6" s="1"/>
  <c r="C39" i="6"/>
  <c r="C35" i="6"/>
  <c r="C46"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49" i="6"/>
  <c r="C47" i="6"/>
  <c r="C60" i="6"/>
  <c r="D60" i="6"/>
  <c r="D58" i="6"/>
  <c r="C58" i="6"/>
  <c r="D63" i="6"/>
  <c r="C63" i="6"/>
  <c r="C62" i="6"/>
  <c r="D62" i="6"/>
  <c r="C54" i="6"/>
  <c r="D54" i="6"/>
  <c r="D57" i="6"/>
  <c r="C57" i="6"/>
  <c r="F56" i="6"/>
  <c r="H56" i="6" s="1"/>
  <c r="H55" i="6"/>
  <c r="D59" i="6"/>
  <c r="C59" i="6"/>
  <c r="T15" i="5"/>
  <c r="T16" i="5"/>
  <c r="T13" i="5"/>
  <c r="T17" i="5"/>
  <c r="T14" i="5"/>
  <c r="T12" i="5"/>
  <c r="T10" i="5"/>
  <c r="T7" i="5"/>
  <c r="T9" i="5"/>
  <c r="T11" i="5"/>
  <c r="T8" i="5"/>
  <c r="C68" i="6" l="1"/>
  <c r="X13" i="5"/>
  <c r="X10" i="5"/>
  <c r="D65" i="6"/>
  <c r="X9" i="5"/>
  <c r="X12" i="5"/>
  <c r="X14" i="5"/>
  <c r="X17" i="5"/>
  <c r="D66" i="6"/>
  <c r="C67" i="6"/>
  <c r="X11" i="5"/>
  <c r="X15" i="5"/>
  <c r="X8" i="5"/>
  <c r="X7" i="5"/>
  <c r="G69" i="6"/>
  <c r="H69" i="6" s="1"/>
  <c r="H70" i="6" s="1"/>
  <c r="D2" i="6" s="1"/>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authors>
    <author>a64a</author>
  </authors>
  <commentList>
    <comment ref="P3" authorId="0">
      <text>
        <r>
          <rPr>
            <sz val="9"/>
            <rFont val="ＭＳ Ｐゴシック"/>
            <family val="3"/>
            <charset val="128"/>
          </rPr>
          <t>location number in language list</t>
        </r>
      </text>
    </comment>
    <comment ref="P9" authorId="0">
      <text>
        <r>
          <rPr>
            <sz val="9"/>
            <rFont val="ＭＳ Ｐゴシック"/>
            <family val="3"/>
            <charset val="128"/>
          </rPr>
          <t>list for Validation in D9</t>
        </r>
      </text>
    </comment>
    <comment ref="P26" authorId="0">
      <text>
        <r>
          <rPr>
            <sz val="9"/>
            <rFont val="ＭＳ Ｐゴシック"/>
            <family val="3"/>
            <charset val="128"/>
          </rPr>
          <t>condition for answer Q3 and later</t>
        </r>
      </text>
    </comment>
    <comment ref="Q31" authorId="0">
      <text>
        <r>
          <rPr>
            <sz val="9"/>
            <rFont val="ＭＳ Ｐゴシック"/>
            <family val="3"/>
            <charset val="128"/>
          </rPr>
          <t>condition for answer</t>
        </r>
      </text>
    </comment>
    <comment ref="P32" authorId="0">
      <text>
        <r>
          <rPr>
            <sz val="9"/>
            <rFont val="ＭＳ Ｐゴシック"/>
            <family val="3"/>
            <charset val="128"/>
          </rPr>
          <t>condition for answer Q3 and later</t>
        </r>
      </text>
    </comment>
    <comment ref="Q37" authorId="0">
      <text>
        <r>
          <rPr>
            <sz val="9"/>
            <rFont val="ＭＳ Ｐゴシック"/>
            <family val="3"/>
            <charset val="128"/>
          </rPr>
          <t>condition for answer</t>
        </r>
      </text>
    </comment>
    <comment ref="Q43" author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<sst xmlns="http://schemas.openxmlformats.org/spreadsheetml/2006/main" count="21954" uniqueCount="15615">
  <si>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</si>
  <si>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</si>
  <si>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</si>
  <si>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</si>
  <si>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</si>
  <si>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</si>
  <si>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</si>
  <si>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</si>
  <si>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</si>
  <si>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</si>
  <si>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</si>
  <si>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</si>
  <si>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</si>
  <si>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</si>
  <si>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</si>
  <si>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</si>
  <si>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</si>
  <si>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</si>
  <si>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</si>
  <si>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</si>
  <si>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</si>
  <si>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</si>
  <si>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</si>
  <si>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</si>
  <si>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</si>
  <si>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</si>
  <si>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</si>
  <si>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</si>
  <si>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</si>
  <si>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</si>
  <si>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</si>
  <si>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</si>
  <si>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</si>
  <si>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</si>
  <si>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</si>
  <si>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</si>
  <si>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</si>
  <si>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</si>
  <si>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</si>
  <si>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</si>
  <si>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</si>
  <si>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</si>
  <si>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</si>
  <si>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</si>
  <si>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</si>
  <si>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</si>
  <si>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</si>
  <si>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</si>
  <si>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</si>
  <si>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</si>
  <si>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</si>
  <si>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</si>
  <si>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</si>
  <si>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</si>
  <si>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</si>
  <si>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</si>
  <si>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</si>
  <si>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</si>
  <si>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</si>
  <si>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</si>
  <si>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</si>
  <si>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</si>
  <si>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</si>
  <si>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</si>
  <si>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</si>
  <si>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</si>
  <si>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</si>
  <si>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</si>
  <si>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</si>
  <si>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</si>
  <si>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</si>
  <si>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</si>
  <si>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</si>
  <si>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</si>
  <si>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</si>
  <si>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</si>
  <si>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</si>
  <si>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</si>
  <si>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</si>
  <si>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</si>
  <si>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</si>
  <si>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</si>
  <si>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</si>
  <si>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</si>
  <si>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</si>
  <si>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</si>
  <si>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</si>
  <si>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</si>
  <si>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</si>
  <si>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</si>
  <si>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</si>
  <si>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</si>
  <si>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</si>
  <si>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</si>
  <si>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</si>
  <si>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</si>
  <si>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</si>
  <si>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</si>
  <si>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</si>
  <si>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</si>
  <si>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</si>
  <si>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</si>
  <si>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</si>
  <si>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</si>
  <si>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</si>
  <si>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</si>
  <si>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</si>
  <si>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</si>
  <si>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</si>
  <si>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</si>
  <si>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</si>
  <si>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</si>
  <si>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</si>
  <si>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</si>
  <si>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</si>
  <si>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</si>
  <si>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</si>
  <si>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</si>
  <si>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</si>
  <si>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</si>
  <si>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</si>
  <si>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</si>
  <si>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</si>
  <si>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</si>
  <si>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</si>
  <si>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</si>
  <si>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</si>
  <si>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</si>
  <si>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</si>
  <si>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</si>
  <si>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</si>
  <si>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</si>
  <si>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</si>
  <si>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</si>
  <si>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</si>
  <si>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</si>
  <si>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</si>
  <si>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</si>
  <si>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</si>
  <si>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</si>
  <si>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</si>
  <si>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</si>
  <si>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</si>
  <si>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</si>
  <si>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</si>
  <si>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</si>
  <si>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</si>
  <si>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</si>
  <si>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</si>
  <si>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</si>
  <si>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</si>
  <si>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</si>
  <si>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</si>
  <si>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</si>
  <si>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</si>
  <si>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</si>
  <si>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</si>
  <si>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</si>
  <si>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</si>
  <si>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</si>
  <si>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</si>
  <si>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</si>
  <si>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</si>
  <si>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</si>
  <si>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</si>
  <si>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</si>
  <si>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</si>
  <si>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</si>
  <si>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</si>
  <si>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</si>
  <si>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</si>
  <si>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</si>
  <si>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</si>
  <si>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</si>
  <si>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</si>
  <si>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</si>
  <si>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</si>
  <si>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</si>
  <si>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</si>
  <si>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</si>
  <si>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</si>
  <si>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</si>
  <si>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</si>
  <si>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</si>
  <si>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</si>
  <si>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</si>
  <si>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</si>
  <si>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</si>
  <si>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</si>
  <si>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</si>
  <si>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</si>
  <si>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</si>
  <si>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</si>
  <si>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</si>
  <si>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</si>
  <si>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</si>
  <si>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</si>
  <si>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</si>
  <si>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</si>
  <si>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</si>
  <si>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</si>
  <si>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</si>
  <si>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</si>
  <si>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</si>
  <si>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</si>
  <si>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</si>
  <si>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</si>
  <si>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</si>
  <si>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</si>
  <si>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</si>
  <si>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</si>
  <si>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</si>
  <si>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</si>
  <si>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</si>
  <si>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</si>
  <si>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</si>
  <si>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</si>
  <si>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</si>
  <si>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</si>
  <si>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</si>
  <si>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</si>
  <si>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</si>
  <si>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</si>
  <si>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</si>
  <si>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</si>
  <si>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</si>
  <si>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</si>
  <si>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</si>
  <si>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</si>
  <si>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</si>
  <si>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</si>
  <si>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</si>
  <si>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</si>
  <si>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</si>
  <si>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</si>
  <si>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</si>
  <si>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</si>
  <si>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</si>
  <si>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</si>
  <si>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</si>
  <si>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</si>
  <si>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</si>
  <si>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</si>
  <si>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</si>
  <si>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</si>
  <si>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</si>
  <si>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</si>
  <si>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</si>
  <si>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</si>
  <si>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</si>
  <si>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</si>
  <si>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</si>
  <si>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</si>
  <si>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</si>
  <si>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</si>
  <si>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</si>
  <si>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</si>
  <si>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</si>
  <si>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</si>
  <si>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</si>
  <si>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</si>
  <si>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</si>
  <si>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</si>
  <si>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</si>
  <si>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</si>
  <si>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</si>
  <si>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</si>
  <si>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</si>
  <si>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</si>
  <si>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</si>
  <si>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</si>
  <si>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</si>
  <si>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</si>
  <si>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</si>
  <si>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</si>
  <si>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</si>
  <si>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</si>
  <si>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</si>
  <si>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</si>
  <si>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</si>
  <si>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</si>
  <si>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</si>
  <si>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</si>
  <si>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</si>
  <si>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</si>
  <si>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</si>
  <si>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</si>
  <si>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</si>
  <si>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</si>
  <si>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</si>
  <si>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</si>
  <si>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</si>
  <si>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</si>
  <si>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</si>
  <si>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</si>
  <si>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</si>
  <si>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</si>
  <si>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</si>
  <si>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</si>
  <si>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</si>
  <si>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</si>
  <si>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</si>
  <si>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</si>
  <si>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</si>
  <si>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</si>
  <si>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</si>
  <si>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</si>
  <si>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</si>
  <si>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</si>
  <si>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</si>
  <si>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</si>
  <si>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</si>
  <si>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</si>
  <si>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</si>
  <si>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</si>
  <si>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</si>
  <si>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</si>
  <si>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</si>
  <si>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</si>
  <si>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</si>
  <si>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</si>
  <si>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</si>
  <si>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</si>
  <si>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</si>
  <si>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</si>
  <si>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</si>
  <si>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</si>
  <si>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</si>
  <si>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</si>
  <si>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</si>
  <si>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</si>
  <si>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</si>
  <si>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</si>
  <si>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</si>
  <si>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</si>
  <si>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</si>
  <si>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</si>
  <si>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</si>
  <si>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</si>
  <si>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</si>
  <si>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</si>
  <si>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</si>
  <si>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</si>
  <si>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</si>
  <si>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</si>
  <si>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</si>
  <si>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</si>
  <si>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</si>
  <si>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</si>
  <si>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</si>
  <si>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</si>
  <si>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</si>
  <si>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</si>
  <si>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</si>
  <si>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</si>
  <si>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</si>
  <si>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</si>
  <si>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</si>
  <si>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</si>
  <si>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</si>
  <si>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</si>
  <si>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</si>
  <si>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</si>
  <si>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</si>
  <si>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</si>
  <si>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</si>
  <si>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</si>
  <si>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</si>
  <si>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</si>
  <si>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</si>
  <si>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</si>
  <si>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</si>
  <si>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</si>
  <si>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</si>
  <si>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</si>
  <si>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</si>
  <si>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</si>
  <si>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</si>
  <si>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</si>
  <si>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</si>
  <si>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</si>
  <si>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</si>
  <si>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</si>
  <si>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</si>
  <si>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</si>
  <si>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</si>
  <si>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</si>
  <si>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</si>
  <si>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</si>
  <si>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</si>
  <si>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</si>
  <si>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</si>
  <si>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</si>
  <si>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</si>
  <si>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</si>
  <si>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</si>
  <si>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</si>
  <si>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</si>
  <si>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</si>
  <si>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</si>
  <si>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</si>
  <si>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</si>
  <si>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</si>
  <si>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</si>
  <si>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</si>
  <si>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</si>
  <si>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</si>
  <si>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</si>
  <si>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</si>
  <si>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</si>
  <si>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</si>
  <si>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</si>
  <si>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</si>
  <si>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</si>
  <si>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</si>
  <si>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</si>
  <si>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</si>
  <si>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</si>
  <si>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</si>
  <si>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</si>
  <si>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</si>
  <si>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</si>
  <si>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</si>
  <si>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</si>
  <si>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</si>
  <si>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</si>
  <si>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</si>
  <si>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</si>
  <si>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</si>
  <si>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</si>
  <si>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</si>
  <si>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</si>
  <si>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</si>
  <si>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</si>
  <si>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</si>
  <si>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</si>
  <si>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</si>
  <si>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</si>
  <si>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</si>
  <si>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</si>
  <si>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</si>
  <si>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</si>
  <si>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</si>
  <si>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</si>
  <si>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</si>
  <si>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</si>
  <si>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</si>
  <si>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</si>
  <si>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</si>
  <si>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</si>
  <si>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</si>
  <si>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</si>
  <si>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</si>
  <si>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</si>
  <si>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</si>
  <si>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</si>
  <si>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</si>
  <si>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</si>
  <si>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</si>
  <si>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</si>
  <si>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</si>
  <si>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</si>
  <si>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</si>
  <si>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</si>
  <si>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</si>
  <si>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</si>
  <si>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</si>
  <si>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</si>
  <si>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</si>
  <si>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</si>
  <si>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</si>
  <si>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</si>
  <si>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</si>
  <si>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</si>
  <si>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</si>
  <si>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</si>
  <si>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</si>
  <si>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</si>
  <si>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</si>
  <si>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</si>
  <si>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</si>
  <si>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</si>
  <si>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</si>
  <si>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</si>
  <si>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</si>
  <si>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</si>
  <si>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</si>
  <si>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</si>
  <si>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</si>
  <si>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</si>
  <si>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</si>
  <si>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</si>
  <si>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</si>
  <si>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</si>
  <si>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</si>
  <si>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</si>
  <si>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</si>
  <si>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</si>
  <si>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</si>
  <si>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</si>
  <si>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</si>
  <si>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</si>
  <si>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</si>
  <si>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</si>
  <si>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</si>
  <si>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</si>
  <si>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</si>
  <si>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</si>
  <si>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</si>
  <si>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</si>
  <si>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</si>
  <si>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</si>
  <si>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</si>
  <si>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</si>
  <si>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</si>
  <si>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</si>
  <si>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</si>
  <si>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</si>
  <si>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</si>
  <si>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</si>
  <si>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</si>
  <si>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</si>
  <si>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</si>
  <si>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</si>
  <si>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</si>
  <si>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</si>
  <si>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</si>
  <si>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</si>
  <si>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</si>
  <si>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</si>
  <si>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</si>
  <si>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</si>
  <si>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</si>
  <si>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</si>
  <si>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</si>
  <si>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</si>
  <si>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</si>
  <si>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</si>
  <si>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</si>
  <si>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</si>
  <si>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</si>
  <si>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</si>
  <si>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</si>
  <si>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</si>
  <si>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</si>
  <si>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</si>
  <si>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</si>
  <si>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</si>
  <si>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</si>
  <si>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</si>
  <si>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</si>
  <si>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</si>
  <si>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</si>
  <si>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</si>
  <si>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</si>
  <si>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</si>
  <si>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</si>
  <si>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</si>
  <si>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</si>
  <si>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</si>
  <si>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</si>
  <si>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</si>
  <si>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</si>
  <si>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</si>
  <si>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</si>
  <si>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</si>
  <si>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</si>
  <si>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</si>
  <si>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</si>
  <si>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</si>
  <si>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</si>
  <si>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</si>
  <si>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</si>
  <si>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</si>
  <si>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</si>
  <si>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</si>
  <si>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</si>
  <si>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</si>
  <si>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</si>
  <si>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</si>
  <si>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</si>
  <si>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</si>
  <si>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</si>
  <si>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</si>
  <si>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</si>
  <si>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</si>
  <si>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</si>
  <si>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</si>
  <si>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</si>
  <si>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</si>
  <si>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</si>
  <si>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</si>
  <si>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</si>
  <si>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</si>
  <si>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</si>
  <si>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</si>
  <si>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</si>
  <si>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</si>
  <si>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</si>
  <si>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</si>
  <si>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</si>
  <si>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</si>
  <si>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</si>
  <si>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</si>
  <si>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</si>
  <si>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</si>
  <si>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</si>
  <si>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</si>
  <si>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</si>
  <si>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</si>
  <si>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</si>
  <si>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</si>
  <si>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</si>
  <si>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</si>
  <si>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</si>
  <si>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</si>
  <si>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</si>
  <si>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</si>
  <si>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</si>
  <si>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</si>
  <si>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</si>
  <si>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</si>
  <si>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</si>
  <si>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</si>
  <si>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</si>
  <si>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</si>
  <si>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</si>
  <si>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</si>
  <si>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</si>
  <si>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</si>
  <si>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</si>
  <si>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</si>
  <si>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</si>
  <si>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</si>
  <si>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</si>
  <si>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</si>
  <si>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</si>
  <si>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</si>
  <si>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</si>
  <si>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</si>
  <si>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</si>
  <si>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</si>
  <si>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</si>
  <si>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</si>
  <si>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</si>
  <si>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</si>
  <si>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</si>
  <si>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</si>
  <si>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</si>
  <si>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</si>
  <si>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</si>
  <si>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</si>
  <si>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</si>
  <si>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</si>
  <si>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</si>
  <si>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</si>
  <si>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</si>
  <si>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</si>
  <si>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</si>
  <si>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</si>
  <si>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</si>
  <si>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</si>
  <si>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</si>
  <si>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</si>
  <si>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</si>
  <si>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</si>
  <si>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</si>
  <si>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</si>
  <si>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</si>
  <si>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</si>
  <si>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</si>
  <si>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</si>
  <si>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</si>
  <si>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</si>
  <si>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</si>
  <si>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</si>
  <si>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</si>
  <si>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</si>
  <si>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</si>
  <si>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</si>
  <si>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</si>
  <si>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</si>
  <si>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</si>
  <si>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</si>
  <si>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</si>
  <si>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</si>
  <si>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</si>
  <si>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</si>
  <si>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</si>
  <si>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</si>
  <si>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</si>
  <si>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</si>
  <si>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</si>
  <si>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</si>
  <si>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</si>
  <si>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</si>
  <si>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</si>
  <si>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</si>
  <si>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</si>
  <si>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</si>
  <si>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</si>
  <si>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</si>
  <si>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</si>
  <si>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</si>
  <si>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</si>
  <si>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</si>
  <si>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</si>
  <si>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</si>
  <si>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</si>
  <si>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</si>
  <si>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</si>
  <si>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</si>
  <si>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</si>
  <si>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</si>
  <si>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</si>
  <si>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</si>
  <si>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</si>
  <si>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</si>
  <si>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</si>
  <si>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</si>
  <si>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</si>
  <si>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</si>
  <si>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</si>
  <si>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</si>
  <si>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</si>
  <si>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</si>
  <si>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</si>
  <si>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</si>
  <si>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</si>
  <si>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</si>
  <si>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</si>
  <si>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</si>
  <si>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</si>
  <si>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</si>
  <si>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</si>
  <si>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</si>
  <si>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</si>
  <si>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</si>
  <si>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</si>
  <si>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</si>
  <si>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</si>
  <si>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</si>
  <si>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</si>
  <si>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</si>
  <si>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</si>
  <si>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</si>
  <si>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</si>
  <si>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</si>
  <si>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</si>
  <si>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</si>
  <si>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</si>
  <si>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</si>
  <si>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</si>
  <si>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</si>
  <si>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</si>
  <si>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</si>
  <si>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</si>
  <si>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</si>
  <si>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</si>
  <si>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</si>
  <si>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</si>
  <si>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</si>
  <si>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</si>
  <si>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</si>
  <si>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</si>
  <si>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</si>
  <si>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</si>
  <si>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</si>
  <si>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</si>
  <si>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</si>
  <si>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</si>
  <si>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</si>
  <si>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</si>
  <si>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</si>
  <si>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</si>
  <si>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</si>
  <si>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</si>
  <si>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</si>
  <si>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</si>
  <si>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</si>
  <si>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</si>
  <si>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</si>
  <si>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</si>
  <si>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</si>
  <si>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</si>
  <si>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</si>
  <si>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</si>
  <si>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</si>
  <si>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</si>
  <si>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</si>
  <si>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</si>
  <si>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</si>
  <si>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</si>
  <si>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</si>
  <si>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</si>
  <si>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</si>
  <si>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</si>
  <si>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</si>
  <si>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</si>
  <si>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</si>
  <si>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</si>
  <si>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</si>
  <si>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</si>
  <si>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</si>
  <si>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</si>
  <si>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</si>
  <si>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</si>
  <si>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</si>
  <si>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</si>
  <si>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</si>
  <si>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</si>
  <si>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</si>
  <si>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</si>
  <si>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</si>
  <si>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</si>
  <si>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</si>
  <si>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</si>
  <si>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</si>
  <si>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</si>
  <si>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</si>
  <si>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</si>
  <si>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</si>
  <si>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</si>
  <si>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</si>
  <si>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</si>
  <si>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</si>
  <si>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</si>
  <si>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</si>
  <si>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</si>
  <si>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</si>
  <si>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</si>
  <si>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</si>
  <si>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</si>
  <si>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</si>
  <si>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</si>
  <si>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</si>
  <si>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</si>
  <si>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</si>
  <si>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</si>
  <si>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</si>
  <si>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</si>
  <si>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</si>
  <si>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</si>
  <si>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</si>
  <si>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</si>
  <si>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</si>
  <si>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</si>
  <si>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</si>
  <si>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</si>
  <si>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</si>
  <si>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</si>
  <si>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</si>
  <si>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</si>
  <si>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</si>
  <si>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</si>
  <si>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</si>
  <si>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</si>
  <si>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</si>
  <si>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</si>
  <si>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</si>
  <si>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</si>
  <si>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</si>
  <si>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</si>
  <si>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</si>
  <si>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</si>
  <si>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</si>
  <si>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</si>
  <si>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</si>
  <si>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</si>
  <si>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</si>
  <si>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</si>
  <si>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</si>
  <si>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</si>
  <si>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</si>
  <si>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</si>
  <si>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</si>
  <si>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</si>
  <si>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</si>
  <si>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</si>
  <si>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</si>
  <si>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</si>
  <si>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</si>
  <si>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</si>
  <si>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</si>
  <si>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</si>
  <si>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</si>
  <si>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</si>
  <si>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</si>
  <si>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</si>
  <si>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</si>
  <si>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</si>
  <si>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</si>
  <si>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</si>
  <si>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</si>
  <si>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</si>
  <si>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</si>
  <si>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</si>
  <si>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</si>
  <si>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</si>
  <si>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</si>
  <si>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</si>
  <si>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</si>
  <si>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</si>
  <si>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</si>
  <si>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</si>
  <si>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</si>
  <si>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</si>
  <si>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</si>
  <si>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</si>
  <si>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</si>
  <si>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</si>
  <si>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</si>
  <si>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</si>
  <si>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</si>
  <si>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</si>
  <si>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</si>
  <si>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</si>
  <si>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</si>
  <si>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</si>
  <si>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</si>
  <si>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</si>
  <si>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</si>
  <si>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</si>
  <si>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</si>
  <si>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</si>
  <si>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</si>
  <si>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</si>
  <si>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</si>
  <si>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</si>
  <si>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</si>
  <si>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</si>
  <si>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</si>
  <si>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</si>
  <si>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</si>
  <si>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</si>
  <si>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</si>
  <si>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</si>
  <si>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</si>
  <si>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</si>
  <si>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</si>
  <si>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</si>
  <si>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</si>
  <si>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</si>
  <si>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</si>
  <si>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</si>
  <si>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</si>
  <si>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</si>
  <si>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</si>
  <si>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</si>
  <si>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</si>
  <si>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</si>
  <si>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</si>
  <si>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</si>
  <si>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</si>
  <si>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</si>
  <si>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</si>
  <si>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</si>
  <si>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</si>
  <si>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</si>
  <si>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</si>
  <si>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</si>
  <si>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</si>
  <si>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</si>
  <si>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</si>
  <si>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</si>
  <si>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</si>
  <si>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</si>
  <si>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</si>
  <si>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</si>
  <si>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</si>
  <si>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</si>
  <si>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</si>
  <si>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</si>
  <si>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</si>
  <si>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</si>
  <si>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</si>
  <si>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</si>
  <si>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</si>
  <si>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</si>
  <si>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</si>
  <si>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</si>
  <si>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</si>
  <si>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</si>
  <si>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</si>
  <si>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</si>
  <si>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</si>
  <si>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</si>
  <si>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</si>
  <si>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</si>
  <si>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</si>
  <si>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</si>
  <si>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</si>
  <si>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</si>
  <si>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</si>
  <si>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</si>
  <si>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</si>
  <si>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</si>
  <si>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</si>
  <si>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</si>
  <si>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</si>
  <si>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</si>
  <si>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</si>
  <si>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</si>
  <si>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</si>
  <si>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</si>
  <si>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</si>
  <si>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</si>
  <si>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</si>
  <si>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</si>
  <si>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</si>
  <si>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</si>
  <si>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</si>
  <si>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</si>
  <si>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</si>
  <si>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</si>
  <si>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</si>
  <si>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</si>
  <si>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</si>
  <si>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</si>
  <si>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</si>
  <si>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</si>
  <si>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</si>
  <si>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</si>
  <si>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</si>
  <si>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</si>
  <si>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</si>
  <si>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</si>
  <si>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</si>
  <si>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</si>
  <si>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</si>
  <si>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</si>
  <si>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</si>
  <si>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</si>
  <si>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</si>
  <si>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</si>
  <si>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</si>
  <si>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</si>
  <si>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</si>
  <si>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</si>
  <si>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</si>
  <si>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</si>
  <si>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</si>
  <si>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</si>
  <si>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</si>
  <si>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</si>
  <si>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</si>
  <si>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</si>
  <si>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</si>
  <si>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</si>
  <si>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</si>
  <si>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</si>
  <si>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</si>
  <si>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</si>
  <si>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</si>
  <si>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</si>
  <si>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</si>
  <si>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</si>
  <si>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</si>
  <si>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</si>
  <si>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</si>
  <si>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</si>
  <si>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</si>
  <si>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</si>
  <si>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</si>
  <si>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</si>
  <si>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</si>
  <si>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</si>
  <si>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</si>
  <si>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</si>
  <si>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</si>
  <si>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</si>
  <si>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</si>
  <si>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</si>
  <si>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</si>
  <si>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</si>
  <si>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</si>
  <si>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</si>
  <si>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</si>
  <si>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</si>
  <si>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</si>
  <si>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</si>
  <si>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</si>
  <si>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</si>
  <si>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</si>
  <si>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</si>
  <si>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</si>
  <si>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</si>
  <si>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</si>
  <si>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</si>
  <si>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</si>
  <si>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</si>
  <si>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</si>
  <si>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</si>
  <si>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</si>
  <si>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</si>
  <si>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</si>
  <si>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</si>
  <si>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</si>
  <si>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</si>
  <si>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</si>
  <si>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</si>
  <si>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</si>
  <si>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</si>
  <si>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</si>
  <si>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</si>
  <si>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</si>
  <si>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</si>
  <si>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</si>
  <si>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</si>
  <si>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</si>
  <si>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</si>
  <si>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</si>
  <si>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</si>
  <si>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</si>
  <si>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</si>
  <si>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</si>
  <si>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</si>
  <si>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</si>
  <si>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</si>
  <si>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</si>
  <si>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</si>
  <si>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</si>
  <si>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</si>
  <si>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</si>
  <si>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</si>
  <si>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</si>
  <si>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</si>
  <si>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</si>
  <si>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</si>
  <si>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</si>
  <si>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</si>
  <si>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</si>
  <si>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</si>
  <si>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</si>
  <si>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</si>
  <si>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</si>
  <si>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</si>
  <si>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</si>
  <si>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</si>
  <si>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</si>
  <si>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</si>
  <si>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</si>
  <si>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</si>
  <si>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</si>
  <si>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</si>
  <si>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</si>
  <si>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</si>
  <si>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</si>
  <si>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</si>
  <si>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</si>
  <si>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</si>
  <si>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</si>
  <si>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</si>
  <si>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</si>
  <si>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</si>
  <si>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</si>
  <si>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</si>
  <si>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</si>
  <si>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</si>
  <si>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</si>
  <si>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</si>
  <si>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</si>
  <si>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</si>
  <si>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</si>
  <si>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</si>
  <si>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</si>
  <si>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</si>
  <si>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</si>
  <si>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</si>
  <si>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</si>
  <si>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</si>
  <si>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</si>
  <si>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</si>
  <si>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</si>
  <si>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</si>
  <si>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</si>
  <si>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</si>
  <si>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</si>
  <si>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</si>
  <si>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</si>
  <si>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</si>
  <si>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</si>
  <si>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</si>
  <si>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</si>
  <si>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</si>
  <si>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</si>
  <si>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</si>
  <si>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</si>
  <si>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</si>
  <si>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</si>
  <si>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</si>
  <si>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</si>
  <si>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</si>
  <si>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</si>
  <si>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</si>
  <si>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</si>
  <si>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</si>
  <si>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</si>
  <si>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</si>
  <si>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</si>
  <si>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</si>
  <si>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</si>
  <si>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</si>
  <si>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</si>
  <si>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</si>
  <si>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</si>
  <si>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</si>
  <si>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</si>
  <si>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</si>
  <si>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</si>
  <si>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</si>
  <si>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</si>
  <si>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</si>
  <si>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</si>
  <si>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</si>
  <si>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</si>
  <si>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</si>
  <si>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</si>
  <si>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</si>
  <si>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</si>
  <si>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</si>
  <si>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</si>
  <si>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</si>
  <si>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</si>
  <si>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</si>
  <si>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</si>
  <si>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</si>
  <si>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</si>
  <si>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</si>
  <si>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</si>
  <si>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</si>
  <si>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</si>
  <si>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</si>
  <si>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</si>
  <si>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</si>
  <si>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</si>
  <si>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</si>
  <si>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</si>
  <si>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</si>
  <si>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</si>
  <si>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</si>
  <si>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</si>
  <si>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</si>
  <si>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</si>
  <si>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</si>
  <si>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</si>
  <si>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</si>
  <si>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</si>
  <si>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</si>
  <si>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</si>
  <si>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</si>
  <si>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</si>
  <si>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</si>
  <si>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</si>
  <si>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</si>
  <si>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</si>
  <si>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</si>
  <si>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</si>
  <si>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</si>
  <si>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</si>
  <si>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</si>
  <si>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</si>
  <si>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</si>
  <si>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</si>
  <si>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</si>
  <si>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</si>
  <si>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</si>
  <si>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</si>
  <si>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</si>
  <si>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</si>
  <si>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</si>
  <si>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</si>
  <si>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</si>
  <si>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</si>
  <si>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</si>
  <si>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</si>
  <si>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</si>
  <si>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</si>
  <si>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</si>
  <si>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</si>
  <si>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</si>
  <si>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</si>
  <si>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</si>
  <si>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</si>
  <si>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</si>
  <si>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</si>
  <si>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</si>
  <si>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</si>
  <si>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</si>
  <si>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</si>
  <si>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</si>
  <si>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</si>
  <si>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</si>
  <si>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</si>
  <si>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</si>
  <si>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</si>
  <si>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</si>
  <si>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</si>
  <si>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</si>
  <si>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</si>
  <si>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</si>
  <si>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</si>
  <si>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</si>
  <si>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</si>
  <si>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</si>
  <si>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</si>
  <si>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</si>
  <si>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</si>
  <si>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</si>
  <si>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</si>
  <si>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</si>
  <si>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</si>
  <si>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</si>
  <si>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</si>
  <si>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</si>
  <si>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</si>
  <si>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</si>
  <si>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</si>
  <si>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</si>
  <si>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</si>
  <si>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</si>
  <si>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</si>
  <si>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</si>
  <si>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</si>
  <si>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</si>
  <si>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</si>
  <si>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</si>
  <si>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</si>
  <si>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</si>
  <si>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</si>
  <si>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</si>
  <si>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</si>
  <si>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</si>
  <si>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</si>
  <si>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</si>
  <si>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</si>
  <si>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</si>
  <si>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</si>
  <si>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</si>
  <si>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</si>
  <si>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</si>
  <si>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</si>
  <si>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</si>
  <si>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</si>
  <si>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</si>
  <si>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</si>
  <si>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</si>
  <si>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</si>
  <si>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</si>
  <si>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</si>
  <si>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</si>
  <si>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</si>
  <si>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</si>
  <si>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</si>
  <si>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</si>
  <si>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</si>
  <si>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</si>
  <si>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</si>
  <si>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</si>
  <si>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</si>
  <si>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</si>
  <si>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</si>
  <si>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</si>
  <si>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</si>
  <si>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</si>
  <si>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</si>
  <si>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</si>
  <si>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</si>
  <si>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</si>
  <si>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</si>
  <si>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</si>
  <si>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</si>
  <si>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</si>
  <si>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</si>
  <si>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</si>
  <si>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</si>
  <si>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</si>
  <si>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</si>
  <si>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</si>
  <si>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</si>
  <si>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</si>
  <si>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</si>
  <si>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</si>
  <si>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</si>
  <si>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</si>
  <si>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</si>
  <si>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</si>
  <si>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</si>
  <si>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</si>
  <si>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</si>
  <si>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</si>
  <si>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</si>
  <si>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</si>
  <si>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</si>
  <si>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</si>
  <si>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</si>
  <si>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</si>
  <si>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</si>
  <si>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</si>
  <si>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</si>
  <si>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</si>
  <si>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</si>
  <si>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</si>
  <si>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</si>
  <si>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</si>
  <si>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</si>
  <si>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</si>
  <si>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</si>
  <si>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</si>
  <si>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</si>
  <si>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</si>
  <si>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</si>
  <si>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</si>
  <si>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</si>
  <si>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</si>
  <si>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</si>
  <si>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</si>
  <si>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</si>
  <si>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</si>
  <si>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</si>
  <si>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</si>
  <si>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</si>
  <si>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</si>
  <si>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</si>
  <si>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</si>
  <si>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</si>
  <si>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</si>
  <si>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</si>
  <si>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</si>
  <si>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</si>
  <si>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</si>
  <si>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</si>
  <si>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</si>
  <si>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</si>
  <si>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</si>
  <si>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</si>
  <si>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</si>
  <si>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</si>
  <si>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</si>
  <si>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</si>
  <si>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</si>
  <si>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</si>
  <si>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</si>
  <si>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</si>
  <si>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</si>
  <si>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</si>
  <si>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</si>
  <si>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</si>
  <si>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</si>
  <si>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</si>
  <si>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</si>
  <si>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</si>
  <si>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</si>
  <si>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</si>
  <si>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</si>
  <si>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</si>
  <si>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</si>
  <si>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</si>
  <si>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</si>
  <si>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</si>
  <si>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</si>
  <si>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</si>
  <si>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</si>
  <si>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</si>
  <si>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</si>
  <si>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</si>
  <si>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</si>
  <si>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</si>
  <si>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</si>
  <si>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</si>
  <si>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</si>
  <si>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</si>
  <si>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</si>
  <si>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</si>
  <si>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</si>
  <si>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</si>
  <si>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</si>
  <si>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</si>
  <si>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</si>
  <si>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</si>
  <si>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</si>
  <si>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</si>
  <si>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</si>
  <si>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</si>
  <si>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</si>
  <si>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</si>
  <si>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</si>
  <si>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</si>
  <si>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</si>
  <si>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</si>
  <si>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</si>
  <si>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</si>
  <si>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</si>
  <si>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</si>
  <si>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</si>
  <si>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</si>
  <si>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</si>
  <si>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</si>
  <si>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</si>
  <si>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</si>
  <si>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</si>
  <si>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</si>
  <si>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</si>
  <si>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</si>
  <si>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</si>
  <si>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</si>
  <si>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</si>
  <si>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</si>
  <si>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</si>
  <si>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</si>
  <si>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</si>
  <si>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</si>
  <si>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</si>
  <si>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</si>
  <si>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</si>
  <si>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</si>
  <si>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</si>
  <si>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</si>
  <si>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</si>
  <si>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</si>
  <si>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</si>
  <si>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</si>
  <si>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</si>
  <si>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</si>
  <si>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</si>
  <si>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</si>
  <si>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</si>
  <si>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</si>
  <si>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</si>
  <si>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</si>
  <si>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</si>
  <si>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</si>
  <si>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</si>
  <si>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</si>
  <si>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</si>
  <si>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</si>
  <si>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</si>
  <si>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</si>
  <si>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</si>
  <si>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</si>
  <si>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</si>
  <si>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</si>
  <si>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</si>
  <si>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</si>
  <si>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</si>
  <si>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</si>
  <si>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</si>
  <si>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</si>
  <si>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</si>
  <si>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</si>
  <si>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</si>
  <si>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</si>
  <si>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</si>
  <si>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</si>
  <si>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</si>
  <si>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</si>
  <si>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</si>
  <si>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</si>
  <si>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</si>
  <si>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</si>
  <si>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</si>
  <si>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</si>
  <si>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</si>
  <si>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</si>
  <si>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</si>
  <si>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</si>
  <si>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</si>
  <si>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</si>
  <si>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</si>
  <si>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</si>
  <si>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</si>
  <si>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</si>
  <si>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</si>
  <si>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</si>
  <si>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</si>
  <si>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</si>
  <si>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</si>
  <si>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</si>
  <si>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</si>
  <si>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</si>
  <si>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</si>
  <si>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</si>
  <si>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</si>
  <si>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</si>
  <si>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</si>
  <si>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</si>
  <si>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</si>
  <si>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</si>
  <si>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</si>
  <si>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</si>
  <si>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</si>
  <si>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</si>
  <si>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</si>
  <si>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</si>
  <si>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</si>
  <si>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</si>
  <si>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</si>
  <si>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</si>
  <si>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</si>
  <si>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</si>
  <si>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</si>
  <si>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</si>
  <si>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</si>
  <si>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</si>
  <si>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</si>
  <si>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</si>
  <si>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</si>
  <si>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</si>
  <si>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</si>
  <si>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</si>
  <si>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</si>
  <si>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</si>
  <si>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</si>
  <si>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</si>
  <si>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</si>
  <si>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</si>
  <si>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</si>
  <si>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</si>
  <si>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</si>
  <si>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</si>
  <si>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</si>
  <si>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</si>
  <si>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</si>
  <si>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</si>
  <si>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</si>
  <si>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</si>
  <si>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</si>
  <si>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</si>
  <si>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</si>
  <si>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</si>
  <si>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</si>
  <si>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</si>
  <si>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</si>
  <si>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</si>
  <si>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</si>
  <si>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</si>
  <si>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</si>
  <si>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</si>
  <si>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</si>
  <si>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</si>
  <si>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</si>
  <si>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</si>
  <si>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</si>
  <si>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</si>
  <si>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</si>
  <si>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</si>
  <si>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</si>
  <si>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</si>
  <si>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</si>
  <si>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</si>
  <si>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</si>
  <si>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</si>
  <si>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</si>
  <si>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</si>
  <si>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</si>
  <si>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</si>
  <si>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</si>
  <si>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</si>
  <si>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</si>
  <si>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</si>
  <si>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</si>
  <si>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</si>
  <si>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</si>
  <si>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</si>
  <si>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</si>
  <si>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</si>
  <si>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</si>
  <si>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</si>
  <si>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</si>
  <si>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</si>
  <si>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</si>
  <si>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</si>
  <si>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</si>
  <si>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</si>
  <si>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</si>
  <si>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</si>
  <si>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</si>
  <si>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</si>
  <si>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</si>
  <si>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</si>
  <si>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</si>
  <si>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</si>
  <si>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</si>
  <si>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</si>
  <si>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</si>
  <si>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</si>
  <si>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</si>
  <si>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</si>
  <si>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</si>
  <si>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</si>
  <si>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</si>
  <si>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</si>
  <si>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</si>
  <si>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</si>
  <si>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</si>
  <si>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</si>
  <si>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</si>
  <si>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</si>
  <si>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</si>
  <si>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</si>
  <si>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</si>
  <si>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</si>
  <si>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</si>
  <si>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</si>
  <si>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</si>
  <si>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</si>
  <si>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</si>
  <si>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</si>
  <si>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</si>
  <si>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</si>
  <si>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</si>
  <si>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</si>
  <si>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</si>
  <si>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</si>
  <si>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</si>
  <si>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</si>
  <si>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</si>
  <si>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</si>
  <si>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</si>
  <si>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</si>
  <si>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</si>
  <si>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</si>
  <si>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</si>
  <si>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</si>
  <si>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</si>
  <si>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</si>
  <si>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</si>
  <si>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</si>
  <si>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</si>
  <si>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</si>
  <si>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</si>
  <si>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</si>
  <si>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</si>
  <si>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</si>
  <si>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</si>
  <si>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</si>
  <si>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</si>
  <si>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</si>
  <si>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</si>
  <si>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</si>
  <si>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</si>
  <si>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</si>
  <si>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</si>
  <si>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</si>
  <si>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</si>
  <si>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</si>
  <si>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</si>
  <si>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</si>
  <si>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</si>
  <si>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</si>
  <si>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</si>
  <si>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</si>
  <si>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</si>
  <si>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</si>
  <si>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</si>
  <si>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</si>
  <si>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</si>
  <si>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</si>
  <si>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</si>
  <si>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</si>
  <si>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</si>
  <si>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</si>
  <si>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</si>
  <si>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</si>
  <si>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</si>
  <si>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</si>
  <si>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</si>
  <si>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</si>
  <si>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</si>
  <si>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</si>
  <si>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</si>
  <si>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</si>
  <si>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</si>
  <si>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</si>
  <si>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</si>
  <si>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</si>
  <si>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</si>
  <si>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</si>
  <si>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</si>
  <si>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</si>
  <si>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</si>
  <si>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</si>
  <si>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</si>
  <si>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</si>
  <si>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</si>
  <si>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</si>
  <si>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</si>
  <si>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</si>
  <si>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</si>
  <si>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</si>
  <si>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</si>
  <si>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</si>
  <si>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</si>
  <si>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</si>
  <si>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</si>
  <si>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</si>
  <si>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</si>
  <si>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</si>
  <si>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</si>
  <si>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</si>
  <si>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</si>
  <si>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</si>
  <si>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</si>
  <si>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</si>
  <si>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</si>
  <si>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</si>
  <si>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</si>
  <si>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</si>
  <si>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</si>
  <si>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</si>
  <si>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</si>
  <si>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</si>
  <si>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</si>
  <si>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</si>
  <si>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</si>
  <si>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</si>
  <si>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</si>
  <si>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</si>
  <si>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</si>
  <si>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</si>
  <si>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</si>
  <si>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</si>
  <si>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</si>
  <si>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</si>
  <si>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</si>
  <si>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</si>
  <si>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</si>
  <si>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</si>
  <si>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</si>
  <si>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</si>
  <si>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</si>
  <si>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</si>
  <si>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</si>
  <si>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</si>
  <si>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</si>
  <si>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</si>
  <si>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</si>
  <si>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</si>
  <si>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</si>
  <si>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</si>
  <si>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</si>
  <si>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</si>
  <si>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</si>
  <si>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</si>
  <si>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</si>
  <si>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</si>
  <si>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</si>
  <si>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</si>
  <si>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</si>
  <si>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</si>
  <si>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</si>
  <si>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</si>
  <si>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</si>
  <si>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</si>
  <si>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</si>
  <si>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</si>
  <si>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</si>
  <si>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</si>
  <si>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</si>
  <si>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</si>
  <si>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</si>
  <si>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</si>
  <si>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</si>
  <si>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</si>
  <si>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</si>
  <si>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</si>
  <si>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</si>
  <si>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</si>
  <si>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</si>
  <si>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</si>
  <si>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</si>
  <si>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</si>
  <si>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</si>
  <si>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</si>
  <si>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</si>
  <si>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</si>
  <si>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</si>
  <si>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</si>
  <si>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</si>
  <si>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</si>
  <si>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</si>
  <si>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</si>
  <si>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</si>
  <si>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</si>
  <si>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</si>
  <si>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</si>
  <si>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</si>
  <si>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</si>
  <si>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</si>
  <si>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</si>
  <si>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</si>
  <si>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</si>
  <si>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</si>
  <si>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</si>
  <si>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</si>
  <si>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</si>
  <si>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</si>
  <si>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</si>
  <si>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</si>
  <si>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</si>
  <si>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</si>
  <si>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</si>
  <si>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</si>
  <si>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</si>
  <si>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</si>
  <si>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</si>
  <si>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</si>
  <si>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</si>
  <si>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</si>
  <si>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</si>
  <si>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</si>
  <si>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</si>
  <si>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</si>
  <si>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</si>
  <si>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</si>
  <si>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</si>
  <si>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</si>
  <si>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</si>
  <si>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</si>
  <si>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</si>
  <si>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</si>
  <si>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</si>
  <si>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</si>
  <si>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</si>
  <si>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</si>
  <si>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</si>
  <si>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</si>
  <si>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</si>
  <si>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</si>
  <si>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</si>
  <si>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</si>
  <si>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</si>
  <si>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</si>
  <si>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</si>
  <si>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</si>
  <si>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</si>
  <si>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</si>
  <si>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</si>
  <si>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</si>
  <si>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</si>
  <si>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</si>
  <si>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</si>
  <si>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</si>
  <si>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</si>
  <si>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</si>
  <si>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</si>
  <si>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</si>
  <si>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</si>
  <si>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</si>
  <si>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</si>
  <si>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</si>
  <si>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</si>
  <si>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</si>
  <si>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</si>
  <si>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</si>
  <si>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</si>
  <si>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</si>
  <si>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</si>
  <si>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</si>
  <si>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</si>
  <si>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</si>
  <si>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</si>
  <si>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</si>
  <si>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</si>
  <si>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</si>
  <si>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</si>
  <si>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</si>
  <si>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</si>
  <si>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</si>
  <si>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</si>
  <si>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</si>
  <si>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</si>
  <si>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</si>
  <si>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</si>
  <si>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</si>
  <si>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</si>
  <si>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</si>
  <si>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</si>
  <si>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</si>
  <si>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</si>
  <si>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</si>
  <si>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</si>
  <si>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</si>
  <si>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</si>
  <si>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</si>
  <si>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</si>
  <si>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</si>
  <si>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</si>
  <si>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</si>
  <si>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</si>
  <si>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</si>
  <si>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</si>
  <si>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</si>
  <si>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</si>
  <si>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</si>
  <si>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</si>
  <si>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</si>
  <si>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</si>
  <si>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</si>
  <si>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</si>
  <si>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</si>
  <si>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</si>
  <si>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</si>
  <si>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</si>
  <si>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</si>
  <si>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</si>
  <si>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</si>
  <si>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</si>
  <si>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</si>
  <si>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</si>
  <si>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</si>
  <si>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</si>
  <si>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</si>
  <si>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</si>
  <si>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</si>
  <si>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</si>
  <si>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</si>
  <si>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</si>
  <si>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</si>
  <si>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</si>
  <si>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</si>
  <si>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</si>
  <si>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</si>
  <si>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</si>
  <si>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</si>
  <si>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</si>
  <si>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</si>
  <si>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</si>
  <si>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</si>
  <si>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</si>
  <si>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</si>
  <si>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</si>
  <si>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</si>
  <si>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</si>
  <si>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</si>
  <si>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</si>
  <si>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</si>
  <si>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</si>
  <si>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</si>
  <si>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</si>
  <si>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</si>
  <si>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</si>
  <si>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</si>
  <si>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</si>
  <si>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</si>
  <si>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</si>
  <si>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</si>
  <si>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</si>
  <si>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</si>
  <si>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</si>
  <si>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</si>
  <si>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</si>
  <si>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</si>
  <si>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</si>
  <si>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</si>
  <si>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</si>
  <si>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</si>
  <si>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</si>
  <si>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</si>
  <si>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</si>
  <si>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</si>
  <si>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</si>
  <si>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</si>
  <si>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</si>
  <si>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</si>
  <si>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</si>
  <si>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</si>
  <si>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</si>
  <si>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</si>
  <si>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</si>
  <si>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</si>
  <si>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</si>
  <si>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</si>
  <si>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</si>
  <si>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</si>
  <si>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</si>
  <si>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</si>
  <si>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</si>
  <si>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</si>
  <si>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</si>
  <si>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</si>
  <si>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</si>
  <si>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</si>
  <si>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</si>
  <si>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</si>
  <si>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</si>
  <si>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</si>
  <si>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</si>
  <si>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</si>
  <si>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</si>
  <si>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</si>
  <si>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</si>
  <si>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</si>
  <si>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</si>
  <si>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</si>
  <si>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</si>
  <si>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</si>
  <si>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</si>
  <si>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</si>
  <si>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</si>
  <si>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</si>
  <si>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</si>
  <si>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</si>
  <si>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</si>
  <si>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</si>
  <si>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</si>
  <si>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</si>
  <si>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</si>
  <si>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</si>
  <si>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</si>
  <si>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</si>
  <si>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</si>
  <si>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</si>
  <si>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</si>
  <si>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</si>
  <si>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</si>
  <si>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</si>
  <si>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</si>
  <si>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</si>
  <si>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</si>
  <si>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</si>
  <si>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</si>
  <si>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</si>
  <si>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</si>
  <si>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</si>
  <si>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</si>
  <si>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</si>
  <si>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</si>
  <si>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</si>
  <si>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</si>
  <si>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</si>
  <si>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</si>
  <si>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</si>
  <si>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</si>
  <si>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</si>
  <si>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</si>
  <si>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</si>
  <si>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</si>
  <si>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</si>
  <si>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</si>
  <si>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</si>
  <si>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</si>
  <si>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</si>
  <si>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</si>
  <si>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</si>
  <si>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</si>
  <si>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</si>
  <si>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</si>
  <si>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</si>
  <si>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</si>
  <si>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</si>
  <si>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</si>
  <si>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</si>
  <si>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</si>
  <si>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</si>
  <si>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</si>
  <si>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</si>
  <si>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</si>
  <si>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</si>
  <si>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</si>
  <si>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</si>
  <si>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</si>
  <si>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</si>
  <si>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</si>
  <si>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</si>
  <si>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</si>
  <si>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</si>
  <si>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</si>
  <si>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</si>
  <si>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</si>
  <si>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</si>
  <si>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</si>
  <si>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</si>
  <si>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</si>
  <si>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</si>
  <si>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</si>
  <si>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</si>
  <si>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</si>
  <si>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</si>
  <si>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</si>
  <si>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</si>
  <si>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</si>
  <si>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</si>
  <si>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</si>
  <si>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</si>
  <si>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</si>
  <si>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</si>
  <si>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</si>
  <si>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</si>
  <si>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</si>
  <si>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</si>
  <si>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</si>
  <si>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</si>
  <si>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</si>
  <si>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</si>
  <si>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</si>
  <si>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</si>
  <si>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</si>
  <si>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</si>
  <si>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</si>
  <si>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</si>
  <si>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</si>
  <si>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</si>
  <si>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</si>
  <si>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</si>
  <si>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</si>
  <si>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</si>
  <si>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</si>
  <si>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</si>
  <si>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</si>
  <si>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</si>
  <si>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</si>
  <si>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</si>
  <si>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</si>
  <si>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</si>
  <si>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</si>
  <si>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</si>
  <si>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</si>
  <si>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</si>
  <si>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</si>
  <si>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</si>
  <si>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</si>
  <si>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</si>
  <si>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</si>
  <si>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</si>
  <si>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</si>
  <si>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</si>
  <si>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</si>
  <si>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</si>
  <si>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</si>
  <si>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</si>
  <si>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</si>
  <si>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</si>
  <si>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</si>
  <si>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</si>
  <si>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</si>
  <si>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</si>
  <si>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</si>
  <si>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</si>
  <si>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</si>
  <si>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</si>
  <si>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</si>
  <si>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</si>
  <si>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</si>
  <si>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</si>
  <si>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</si>
  <si>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</si>
  <si>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</si>
  <si>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</si>
  <si>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</si>
  <si>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</si>
  <si>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</si>
  <si>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</si>
  <si>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</si>
  <si>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</si>
  <si>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</si>
  <si>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</si>
  <si>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</si>
  <si>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</si>
  <si>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</si>
  <si>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</si>
  <si>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</si>
  <si>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</si>
  <si>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</si>
  <si>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</si>
  <si>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</si>
  <si>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</si>
  <si>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</si>
  <si>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</si>
  <si>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</si>
  <si>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</si>
  <si>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</si>
  <si>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</si>
  <si>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</si>
  <si>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</si>
  <si>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</si>
  <si>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</si>
  <si>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</si>
  <si>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</si>
  <si>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</si>
  <si>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</si>
  <si>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</si>
  <si>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</si>
  <si>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</si>
  <si>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</si>
  <si>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</si>
  <si>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</si>
  <si>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</si>
  <si>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</si>
  <si>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</si>
  <si>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</si>
  <si>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</si>
  <si>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</si>
  <si>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</si>
  <si>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</si>
  <si>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</si>
  <si>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</si>
  <si>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</si>
  <si>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</si>
  <si>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</si>
  <si>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</si>
  <si>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</si>
  <si>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</si>
  <si>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</si>
  <si>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</si>
  <si>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</si>
  <si>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</si>
  <si>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</si>
  <si>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</si>
  <si>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</si>
  <si>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</si>
  <si>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</si>
  <si>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</si>
  <si>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</si>
  <si>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</si>
  <si>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</si>
  <si>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</si>
  <si>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</si>
  <si>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</si>
  <si>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</si>
  <si>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</si>
  <si>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</si>
  <si>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</si>
  <si>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</si>
  <si>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</si>
  <si>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</si>
  <si>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</si>
  <si>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</si>
  <si>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</si>
  <si>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</si>
  <si>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</si>
  <si>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</si>
  <si>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</si>
  <si>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</si>
  <si>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</si>
  <si>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</si>
  <si>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</si>
  <si>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</si>
  <si>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</si>
  <si>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</si>
  <si>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</si>
  <si>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</si>
  <si>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</si>
  <si>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</si>
  <si>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</si>
  <si>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</si>
  <si>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</si>
  <si>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</si>
  <si>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</si>
  <si>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</si>
  <si>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</si>
  <si>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</si>
  <si>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</si>
  <si>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</si>
  <si>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</si>
  <si>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</si>
  <si>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</si>
  <si>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</si>
  <si>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</si>
  <si>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</si>
  <si>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</si>
  <si>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</si>
  <si>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</si>
  <si>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</si>
  <si>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</si>
  <si>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</si>
  <si>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</si>
  <si>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</si>
  <si>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</si>
  <si>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</si>
  <si>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</si>
  <si>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</si>
  <si>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</si>
  <si>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</si>
  <si>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</si>
  <si>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</si>
  <si>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</si>
  <si>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</si>
  <si>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</si>
  <si>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</si>
  <si>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</si>
  <si>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</si>
  <si>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</si>
  <si>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</si>
  <si>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</si>
  <si>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</si>
  <si>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</si>
  <si>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</si>
  <si>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</si>
  <si>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</si>
  <si>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</si>
  <si>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</si>
  <si>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</si>
  <si>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</si>
  <si>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</si>
  <si>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</si>
  <si>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</si>
  <si>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</si>
  <si>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</si>
  <si>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</si>
  <si>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</si>
  <si>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</si>
  <si>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</si>
  <si>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</si>
  <si>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</si>
  <si>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</si>
  <si>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</si>
  <si>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</si>
  <si>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</si>
  <si>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</si>
  <si>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</si>
  <si>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</si>
  <si>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</si>
  <si>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</si>
  <si>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</si>
  <si>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</si>
  <si>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</si>
  <si>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</si>
  <si>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</si>
  <si>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</si>
  <si>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</si>
  <si>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</si>
  <si>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</si>
  <si>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</si>
  <si>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</si>
  <si>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</si>
  <si>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</si>
  <si>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</si>
  <si>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</si>
  <si>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</si>
  <si>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</si>
  <si>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</si>
  <si>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</si>
  <si>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</si>
  <si>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</si>
  <si>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</si>
  <si>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</si>
  <si>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</si>
  <si>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</si>
  <si>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</si>
  <si>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</si>
  <si>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</si>
  <si>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</si>
  <si>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</si>
  <si>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</si>
  <si>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</si>
  <si>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</si>
  <si>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</si>
  <si>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</si>
  <si>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</si>
  <si>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</si>
  <si>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</si>
  <si>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</si>
  <si>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</si>
  <si>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</si>
  <si>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</si>
  <si>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</si>
  <si>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</si>
  <si>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</si>
  <si>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</si>
  <si>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</si>
  <si>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</si>
  <si>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</si>
  <si>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</si>
  <si>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</si>
  <si>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</si>
  <si>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</si>
  <si>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</si>
  <si>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</si>
  <si>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</si>
  <si>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</si>
  <si>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</si>
  <si>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</si>
  <si>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</si>
  <si>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</si>
  <si>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</si>
  <si>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</si>
  <si>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</si>
  <si>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</si>
  <si>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</si>
  <si>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</si>
  <si>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</si>
  <si>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</si>
  <si>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</si>
  <si>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</si>
  <si>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</si>
  <si>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</si>
  <si>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</si>
  <si>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</si>
  <si>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</si>
  <si>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</si>
  <si>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</si>
  <si>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</si>
  <si>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</si>
  <si>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</si>
  <si>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</si>
  <si>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</si>
  <si>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</si>
  <si>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</si>
  <si>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</si>
  <si>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</si>
  <si>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</si>
  <si>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</si>
  <si>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</si>
  <si>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</si>
  <si>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</si>
  <si>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</si>
  <si>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</si>
  <si>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</si>
  <si>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</si>
  <si>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</si>
  <si>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</si>
  <si>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</si>
  <si>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</si>
  <si>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</si>
  <si>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</si>
  <si>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</si>
  <si>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</si>
  <si>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</si>
  <si>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</si>
  <si>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</si>
  <si>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</si>
  <si>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</si>
  <si>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</si>
  <si>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</si>
  <si>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</si>
  <si>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</si>
  <si>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</si>
  <si>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</si>
  <si>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</si>
  <si>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</si>
  <si>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</si>
  <si>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</si>
  <si>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</si>
  <si>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</si>
  <si>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</si>
  <si>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</si>
  <si>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</si>
  <si>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</si>
  <si>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</si>
  <si>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</si>
  <si>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</si>
  <si>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</si>
  <si>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</si>
  <si>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</si>
  <si>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</si>
  <si>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</si>
  <si>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</si>
  <si>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</si>
  <si>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</si>
  <si>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</si>
  <si>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</si>
  <si>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</si>
  <si>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</si>
  <si>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</si>
  <si>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</si>
  <si>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</si>
  <si>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</si>
  <si>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</si>
  <si>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</si>
  <si>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</si>
  <si>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</si>
  <si>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</si>
  <si>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</si>
  <si>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</si>
  <si>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</si>
  <si>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</si>
  <si>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</si>
  <si>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</si>
  <si>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</si>
  <si>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</si>
  <si>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</si>
  <si>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</si>
  <si>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</si>
  <si>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</si>
  <si>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</si>
  <si>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</si>
  <si>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</si>
  <si>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</si>
  <si>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</si>
  <si>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</si>
  <si>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</si>
  <si>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</si>
  <si>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</si>
  <si>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</si>
  <si>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</si>
  <si>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</si>
  <si>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</si>
  <si>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</si>
  <si>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</si>
  <si>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</si>
  <si>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</si>
  <si>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</si>
  <si>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</si>
  <si>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</si>
  <si>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</si>
  <si>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</si>
  <si>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</si>
  <si>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</si>
  <si>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</si>
  <si>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</si>
  <si>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</si>
  <si>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</si>
  <si>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</si>
  <si>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</si>
  <si>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</si>
  <si>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</si>
  <si>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</si>
  <si>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</si>
  <si>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</si>
  <si>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</si>
  <si>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</si>
  <si>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</si>
  <si>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</si>
  <si>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</si>
  <si>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</si>
  <si>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</si>
  <si>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</si>
  <si>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</si>
  <si>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</si>
  <si>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</si>
  <si>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</si>
  <si>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</si>
  <si>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</si>
  <si>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</si>
  <si>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</si>
  <si>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</si>
  <si>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</si>
  <si>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</si>
  <si>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</si>
  <si>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</si>
  <si>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</si>
  <si>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</si>
  <si>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</si>
  <si>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</si>
  <si>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</si>
  <si>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</si>
  <si>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</si>
  <si>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</si>
  <si>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</si>
  <si>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</si>
  <si>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</si>
  <si>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</si>
  <si>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</si>
  <si>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</si>
  <si>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</si>
  <si>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</si>
  <si>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</si>
  <si>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</si>
  <si>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</si>
  <si>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</si>
  <si>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</si>
  <si>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</si>
  <si>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</si>
  <si>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</si>
  <si>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</si>
  <si>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</si>
  <si>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</si>
  <si>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</si>
  <si>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</si>
  <si>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</si>
  <si>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</si>
  <si>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</si>
  <si>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</si>
  <si>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</si>
  <si>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</si>
  <si>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</si>
  <si>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</si>
  <si>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</si>
  <si>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</si>
  <si>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</si>
  <si>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</si>
  <si>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</si>
  <si>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</si>
  <si>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</si>
  <si>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</si>
  <si>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</si>
  <si>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</si>
  <si>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</si>
  <si>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</si>
  <si>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</si>
  <si>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</si>
  <si>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</si>
  <si>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</si>
  <si>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</si>
  <si>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</si>
  <si>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</si>
  <si>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</si>
  <si>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</si>
  <si>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</si>
  <si>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</si>
  <si>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</si>
  <si>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</si>
  <si>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</si>
  <si>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</si>
  <si>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</si>
  <si>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</si>
  <si>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</si>
  <si>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</si>
  <si>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</si>
  <si>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</si>
  <si>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</si>
  <si>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</si>
  <si>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</si>
  <si>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</si>
  <si>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</si>
  <si>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</si>
  <si>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</si>
  <si>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</si>
  <si>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</si>
  <si>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</si>
  <si>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</si>
  <si>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</si>
  <si>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</si>
  <si>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</si>
  <si>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</si>
  <si>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</si>
  <si>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</si>
  <si>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</si>
  <si>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</si>
  <si>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</si>
  <si>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</si>
  <si>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</si>
  <si>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</si>
  <si>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</si>
  <si>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</si>
  <si>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</si>
  <si>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</si>
  <si>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</si>
  <si>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</si>
  <si>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</si>
  <si>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</si>
  <si>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</si>
  <si>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</si>
  <si>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</si>
  <si>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</si>
  <si>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</si>
  <si>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</si>
  <si>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</si>
  <si>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</si>
  <si>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</si>
  <si>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</si>
  <si>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</si>
  <si>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</si>
  <si>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</si>
  <si>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</si>
  <si>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</si>
  <si>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</si>
  <si>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</si>
  <si>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</si>
  <si>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</si>
  <si>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</si>
  <si>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</si>
  <si>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</si>
  <si>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</si>
  <si>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</si>
  <si>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</si>
  <si>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</si>
  <si>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</si>
  <si>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</si>
  <si>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</si>
  <si>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</si>
  <si>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</si>
  <si>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</si>
  <si>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</si>
  <si>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</si>
  <si>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</si>
  <si>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</si>
  <si>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</si>
  <si>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</si>
  <si>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</si>
  <si>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</si>
  <si>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</si>
  <si>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</si>
  <si>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</si>
  <si>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</si>
  <si>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</si>
  <si>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</si>
  <si>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</si>
  <si>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</si>
  <si>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</si>
  <si>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</si>
  <si>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</si>
  <si>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</si>
  <si>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</si>
  <si>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</si>
  <si>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</si>
  <si>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</si>
  <si>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</si>
  <si>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</si>
  <si>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</si>
  <si>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</si>
  <si>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</si>
  <si>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</si>
  <si>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</si>
  <si>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</si>
  <si>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</si>
  <si>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</si>
  <si>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</si>
  <si>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</si>
  <si>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</si>
  <si>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</si>
  <si>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</si>
  <si>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</si>
  <si>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</si>
  <si>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</si>
  <si>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</si>
  <si>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</si>
  <si>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</si>
  <si>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</si>
  <si>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</si>
  <si>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</si>
  <si>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</si>
  <si>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</si>
  <si>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</si>
  <si>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</si>
  <si>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</si>
  <si>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</si>
  <si>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</si>
  <si>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</si>
  <si>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</si>
  <si>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</si>
  <si>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</si>
  <si>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</si>
  <si>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</si>
  <si>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</si>
  <si>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</si>
  <si>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</si>
  <si>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</si>
  <si>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</si>
  <si>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</si>
  <si>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</si>
  <si>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</si>
  <si>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</si>
  <si>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</si>
  <si>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</si>
  <si>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</si>
  <si>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</si>
  <si>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</si>
  <si>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</si>
  <si>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</si>
  <si>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</si>
  <si>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</si>
  <si>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</si>
  <si>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</si>
  <si>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</si>
  <si>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</si>
  <si>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</si>
  <si>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</si>
  <si>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</si>
  <si>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</si>
  <si>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</si>
  <si>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</si>
  <si>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</si>
  <si>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</si>
  <si>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</si>
  <si>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</si>
  <si>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</si>
  <si>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</si>
  <si>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</si>
  <si>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</si>
  <si>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</si>
  <si>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</si>
  <si>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</si>
  <si>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</si>
  <si>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</si>
  <si>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</si>
  <si>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</si>
  <si>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</si>
  <si>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</si>
  <si>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</si>
  <si>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</si>
  <si>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</si>
  <si>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</si>
  <si>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</si>
  <si>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</si>
  <si>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</si>
  <si>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</si>
  <si>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</si>
  <si>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</si>
  <si>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</si>
  <si>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</si>
  <si>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</si>
  <si>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</si>
  <si>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</si>
  <si>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</si>
  <si>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</si>
  <si>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</si>
  <si>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</si>
  <si>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</si>
  <si>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</si>
  <si>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</si>
  <si>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</si>
  <si>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</si>
  <si>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</si>
  <si>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</si>
  <si>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</si>
  <si>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</si>
  <si>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</si>
  <si>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</si>
  <si>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</si>
  <si>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</si>
  <si>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</si>
  <si>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</si>
  <si>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</si>
  <si>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</si>
  <si>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</si>
  <si>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</si>
  <si>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</si>
  <si>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</si>
  <si>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</si>
  <si>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</si>
  <si>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</si>
  <si>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</si>
  <si>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</si>
  <si>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</si>
  <si>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</si>
  <si>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</si>
  <si>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</si>
  <si>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</si>
  <si>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</si>
  <si>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</si>
  <si>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</si>
  <si>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</si>
  <si>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</si>
  <si>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</si>
  <si>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</si>
  <si>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</si>
  <si>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</si>
  <si>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</si>
  <si>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</si>
  <si>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</si>
  <si>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</si>
  <si>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</si>
  <si>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</si>
  <si>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</si>
  <si>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</si>
  <si>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</si>
  <si>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</si>
  <si>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</si>
  <si>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</si>
  <si>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</si>
  <si>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</si>
  <si>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</si>
  <si>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</si>
  <si>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</si>
  <si>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</si>
  <si>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</si>
  <si>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</si>
  <si>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</si>
  <si>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</si>
  <si>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</si>
  <si>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</si>
  <si>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</si>
  <si>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</si>
  <si>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</si>
  <si>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</si>
  <si>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</si>
  <si>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</si>
  <si>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</si>
  <si>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</si>
  <si>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</si>
  <si>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</si>
  <si>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</si>
  <si>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</si>
  <si>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</si>
  <si>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</si>
  <si>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</si>
  <si>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</si>
  <si>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</si>
  <si>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</si>
  <si>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</si>
  <si>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</si>
  <si>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</si>
  <si>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</si>
  <si>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</si>
  <si>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</si>
  <si>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</si>
  <si>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</si>
  <si>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</si>
  <si>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</si>
  <si>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</si>
  <si>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</si>
  <si>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</si>
  <si>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</si>
  <si>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</si>
  <si>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</si>
  <si>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</si>
  <si>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</si>
  <si>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</si>
  <si>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</si>
  <si>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</si>
  <si>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</si>
  <si>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</si>
  <si>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</si>
  <si>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</si>
  <si>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</si>
  <si>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</si>
  <si>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</si>
  <si>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</si>
  <si>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</si>
  <si>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</si>
  <si>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</si>
  <si>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</si>
  <si>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</si>
  <si>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</si>
  <si>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</si>
  <si>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</si>
  <si>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</si>
  <si>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</si>
  <si>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</si>
  <si>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</si>
  <si>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</si>
  <si>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</si>
  <si>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</si>
  <si>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</si>
  <si>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</si>
  <si>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</si>
  <si>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</si>
  <si>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</si>
  <si>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</si>
  <si>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</si>
  <si>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</si>
  <si>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</si>
  <si>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</si>
  <si>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</si>
  <si>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</si>
  <si>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</si>
  <si>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</si>
  <si>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</si>
  <si>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</si>
  <si>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</si>
  <si>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</si>
  <si>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</si>
  <si>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</si>
  <si>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</si>
  <si>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</si>
  <si>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</si>
  <si>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</si>
  <si>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</si>
  <si>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</si>
  <si>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</si>
  <si>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</si>
  <si>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</si>
  <si>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</si>
  <si>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</si>
  <si>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</si>
  <si>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</si>
  <si>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</si>
  <si>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</si>
  <si>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</si>
  <si>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</si>
  <si>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</si>
  <si>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</si>
  <si>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</si>
  <si>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</si>
  <si>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</si>
  <si>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</si>
  <si>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</si>
  <si>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</si>
  <si>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</si>
  <si>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</si>
  <si>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</si>
  <si>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</si>
  <si>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</si>
  <si>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</si>
  <si>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</si>
  <si>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</si>
  <si>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</si>
  <si>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</si>
  <si>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</si>
  <si>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</si>
  <si>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</si>
  <si>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</si>
  <si>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</si>
  <si>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</si>
  <si>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</si>
  <si>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</si>
  <si>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</si>
  <si>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</si>
  <si>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</si>
  <si>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</si>
  <si>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</si>
  <si>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</si>
  <si>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</si>
  <si>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</si>
  <si>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</si>
  <si>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</si>
  <si>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</si>
  <si>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</si>
  <si>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</si>
  <si>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</si>
  <si>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</si>
  <si>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</si>
  <si>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</si>
  <si>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</si>
  <si>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</si>
  <si>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</si>
  <si>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</si>
  <si>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</si>
  <si>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</si>
  <si>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</si>
  <si>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</si>
  <si>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</si>
  <si>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</si>
  <si>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</si>
  <si>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</si>
  <si>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</si>
  <si>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</si>
  <si>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</si>
  <si>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</si>
  <si>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</si>
  <si>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</si>
  <si>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</si>
  <si>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</si>
  <si>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</si>
  <si>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</si>
  <si>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</si>
  <si>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</si>
  <si>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</si>
  <si>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</si>
  <si>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</si>
  <si>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</si>
  <si>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</si>
  <si>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</si>
  <si>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</si>
  <si>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</si>
  <si>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</si>
  <si>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</si>
  <si>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</si>
  <si>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</si>
  <si>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</si>
  <si>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</si>
  <si>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</si>
  <si>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</si>
  <si>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</si>
  <si>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</si>
  <si>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</si>
  <si>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</si>
  <si>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</si>
  <si>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</si>
  <si>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</si>
  <si>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</si>
  <si>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</si>
  <si>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</si>
  <si>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</si>
  <si>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</si>
  <si>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</si>
  <si>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</si>
  <si>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</si>
  <si>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</si>
  <si>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</si>
  <si>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</si>
  <si>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</si>
  <si>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</si>
  <si>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</si>
  <si>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</si>
  <si>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</si>
  <si>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</si>
  <si>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</si>
  <si>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</si>
  <si>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</si>
  <si>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</si>
  <si>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</si>
  <si>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</si>
  <si>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</si>
  <si>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</si>
  <si>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</si>
  <si>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</si>
  <si>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</si>
  <si>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</si>
  <si>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</si>
  <si>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</si>
  <si>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</si>
  <si>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</si>
  <si>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</si>
  <si>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</si>
  <si>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</si>
  <si>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</si>
  <si>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</si>
  <si>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</si>
  <si>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</si>
  <si>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</si>
  <si>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</si>
  <si>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</si>
  <si>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</si>
  <si>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</si>
  <si>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</si>
  <si>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</si>
  <si>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</si>
  <si>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</si>
  <si>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</si>
  <si>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</si>
  <si>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</si>
  <si>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</si>
  <si>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</si>
  <si>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</si>
  <si>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</si>
  <si>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</si>
  <si>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</si>
  <si>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</si>
  <si>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</si>
  <si>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</si>
  <si>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</si>
  <si>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</si>
  <si>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</si>
  <si>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</si>
  <si>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</si>
  <si>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</si>
  <si>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</si>
  <si>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</si>
  <si>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</si>
  <si>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</si>
  <si>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</si>
  <si>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</si>
  <si>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</si>
  <si>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</si>
  <si>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</si>
  <si>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</si>
  <si>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</si>
  <si>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</si>
  <si>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</si>
  <si>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</si>
  <si>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</si>
  <si>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</si>
  <si>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</si>
  <si>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</si>
  <si>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</si>
  <si>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</si>
  <si>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</si>
  <si>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</si>
  <si>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</si>
  <si>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</si>
  <si>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</si>
  <si>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</si>
  <si>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</si>
  <si>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</si>
  <si>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</si>
  <si>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</si>
  <si>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</si>
  <si>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</si>
  <si>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</si>
  <si>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</si>
  <si>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</si>
  <si>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</si>
  <si>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</si>
  <si>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</si>
  <si>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</si>
  <si>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</si>
  <si>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</si>
  <si>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</si>
  <si>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</si>
  <si>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</si>
  <si>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</si>
  <si>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</si>
  <si>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</si>
  <si>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</si>
  <si>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</si>
  <si>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</si>
  <si>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</si>
  <si>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</si>
  <si>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</si>
  <si>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</si>
  <si>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</si>
  <si>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</si>
  <si>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</si>
  <si>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</si>
  <si>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</si>
  <si>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</si>
  <si>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</si>
  <si>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</si>
  <si>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</si>
  <si>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</si>
  <si>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</si>
  <si>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</si>
  <si>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</si>
  <si>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</si>
  <si>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</si>
  <si>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</si>
  <si>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</si>
  <si>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</si>
  <si>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</si>
  <si>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</si>
  <si>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</si>
  <si>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</si>
  <si>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</si>
  <si>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</si>
  <si>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</si>
  <si>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</si>
  <si>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</si>
  <si>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</si>
  <si>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</si>
  <si>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</si>
  <si>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</si>
  <si>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</si>
  <si>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</si>
  <si>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</si>
  <si>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</si>
  <si>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</si>
  <si>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</si>
  <si>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</si>
  <si>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</si>
  <si>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</si>
  <si>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</si>
  <si>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</si>
  <si>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</si>
  <si>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</si>
  <si>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</si>
  <si>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</si>
  <si>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</si>
  <si>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</si>
  <si>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</si>
  <si>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</si>
  <si>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</si>
  <si>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</si>
  <si>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</si>
  <si>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</si>
  <si>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</si>
  <si>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</si>
  <si>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</si>
  <si>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</si>
  <si>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</si>
  <si>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</si>
  <si>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</si>
  <si>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</si>
  <si>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</si>
  <si>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</si>
  <si>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</si>
  <si>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</si>
  <si>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</si>
  <si>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</si>
  <si>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</si>
  <si>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</si>
  <si>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</si>
  <si>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</si>
  <si>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</si>
  <si>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</si>
  <si>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</si>
  <si>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</si>
  <si>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</si>
  <si>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</si>
  <si>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</si>
  <si>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</si>
  <si>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</si>
  <si>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</si>
  <si>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</si>
  <si>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</si>
  <si>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</si>
  <si>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</si>
  <si>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</si>
  <si>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</si>
  <si>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</si>
  <si>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</si>
  <si>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</si>
  <si>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</si>
  <si>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</si>
  <si>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</si>
  <si>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</si>
  <si>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</si>
  <si>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</si>
  <si>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</si>
  <si>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</si>
  <si>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</si>
  <si>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</si>
  <si>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</si>
  <si>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</si>
  <si>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</si>
  <si>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</si>
  <si>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</si>
  <si>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</si>
  <si>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</si>
  <si>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</si>
  <si>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</si>
  <si>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</si>
  <si>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</si>
  <si>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</si>
  <si>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</si>
  <si>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</si>
  <si>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</si>
  <si>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</si>
  <si>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</si>
  <si>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</si>
  <si>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</si>
  <si>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</si>
  <si>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</si>
  <si>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</si>
  <si>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</si>
  <si>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</si>
  <si>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</si>
  <si>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</si>
  <si>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</si>
  <si>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</si>
  <si>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</si>
  <si>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</si>
  <si>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</si>
  <si>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</si>
  <si>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</si>
  <si>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</si>
  <si>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</si>
  <si>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</si>
  <si>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</si>
  <si>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</si>
  <si>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</si>
  <si>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</si>
  <si>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</si>
  <si>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</si>
  <si>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</si>
  <si>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</si>
  <si>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</si>
  <si>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</si>
  <si>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</si>
  <si>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</si>
  <si>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</si>
  <si>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</si>
  <si>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</si>
  <si>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</si>
  <si>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</si>
  <si>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</si>
  <si>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</si>
  <si>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</si>
  <si>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</si>
  <si>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</si>
  <si>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</si>
  <si>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</si>
  <si>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</si>
  <si>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</si>
  <si>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</si>
  <si>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</si>
  <si>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</si>
  <si>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</si>
  <si>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</si>
  <si>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</si>
  <si>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</si>
  <si>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</si>
  <si>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</si>
  <si>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</si>
  <si>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</si>
  <si>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</si>
  <si>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</si>
  <si>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</si>
  <si>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</si>
  <si>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</si>
  <si>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</si>
  <si>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</si>
  <si>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</si>
  <si>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</si>
  <si>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</si>
  <si>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</si>
  <si>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</si>
  <si>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</si>
  <si>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</si>
  <si>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</si>
  <si>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</si>
  <si>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</si>
  <si>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</si>
  <si>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</si>
  <si>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</si>
  <si>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</si>
  <si>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</si>
  <si>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</si>
  <si>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</si>
  <si>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</si>
  <si>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</si>
  <si>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</si>
  <si>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</si>
  <si>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</si>
  <si>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</si>
  <si>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</si>
  <si>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</si>
  <si>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</si>
  <si>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</si>
  <si>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</si>
  <si>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</si>
  <si>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</si>
  <si>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</si>
  <si>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</si>
  <si>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</si>
  <si>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</si>
  <si>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</si>
  <si>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</si>
  <si>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</si>
  <si>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</si>
  <si>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</si>
  <si>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</si>
  <si>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</si>
  <si>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</si>
  <si>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</si>
  <si>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</si>
  <si>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</si>
  <si>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</si>
  <si>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</si>
  <si>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</si>
  <si>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</si>
  <si>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</si>
  <si>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</si>
  <si>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</si>
  <si>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</si>
  <si>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</si>
  <si>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</si>
  <si>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</si>
  <si>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</si>
  <si>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</si>
  <si>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</si>
  <si>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</si>
  <si>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</si>
  <si>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</si>
  <si>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</si>
  <si>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</si>
  <si>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</si>
  <si>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</si>
  <si>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</si>
  <si>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</si>
  <si>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</si>
  <si>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</si>
  <si>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</si>
  <si>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</si>
  <si>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</si>
  <si>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</si>
  <si>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</si>
  <si>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</si>
  <si>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</si>
  <si>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</si>
  <si>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</si>
  <si>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</si>
  <si>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</si>
  <si>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</si>
  <si>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</si>
  <si>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</si>
  <si>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</si>
  <si>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</si>
  <si>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</si>
  <si>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</si>
  <si>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</si>
  <si>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</si>
  <si>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</si>
  <si>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</si>
  <si>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</si>
  <si>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</si>
  <si>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</si>
  <si>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</si>
  <si>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</si>
  <si>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</si>
  <si>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</si>
  <si>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</si>
  <si>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</si>
  <si>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</si>
  <si>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</si>
  <si>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</si>
  <si>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</si>
  <si>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</si>
  <si>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</si>
  <si>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</si>
  <si>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</si>
  <si>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</si>
  <si>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</si>
  <si>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</si>
  <si>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</si>
  <si>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</si>
  <si>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</si>
  <si>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</si>
  <si>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</si>
  <si>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</si>
  <si>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</si>
  <si>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</si>
  <si>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</si>
  <si>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</si>
  <si>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</si>
  <si>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</si>
  <si>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</si>
  <si>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</si>
  <si>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</si>
  <si>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</si>
  <si>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</si>
  <si>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</si>
  <si>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</si>
  <si>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</si>
  <si>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</si>
  <si>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</si>
  <si>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</si>
  <si>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</si>
  <si>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</si>
  <si>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</si>
  <si>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</si>
  <si>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</si>
  <si>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</si>
  <si>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</si>
  <si>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</si>
  <si>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</si>
  <si>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</si>
  <si>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</si>
  <si>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</si>
  <si>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</si>
  <si>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</si>
  <si>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</si>
  <si>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</si>
  <si>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</si>
  <si>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</si>
  <si>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</si>
  <si>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</si>
  <si>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</si>
  <si>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</si>
  <si>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</si>
  <si>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</si>
  <si>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</si>
  <si>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</si>
  <si>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</si>
  <si>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</si>
  <si>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</si>
  <si>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</si>
  <si>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</si>
  <si>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</si>
  <si>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</si>
  <si>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</si>
  <si>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</si>
  <si>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</si>
  <si>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</si>
  <si>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</si>
  <si>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</si>
  <si>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</si>
  <si>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</si>
  <si>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</si>
  <si>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</si>
  <si>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</si>
  <si>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</si>
  <si>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</si>
  <si>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</si>
  <si>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</si>
  <si>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</si>
  <si>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</si>
  <si>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</si>
  <si>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</si>
  <si>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</si>
  <si>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</si>
  <si>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</si>
  <si>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</si>
  <si>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</si>
  <si>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</si>
  <si>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</si>
  <si>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</si>
  <si>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</si>
  <si>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</si>
  <si>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</si>
  <si>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</si>
  <si>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</si>
  <si>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</si>
  <si>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</si>
  <si>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</si>
  <si>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</si>
  <si>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</si>
  <si>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</si>
  <si>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</si>
  <si>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</si>
  <si>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</si>
  <si>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</si>
  <si>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</si>
  <si>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</si>
  <si>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</si>
  <si>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</si>
  <si>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</si>
  <si>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</si>
  <si>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</si>
  <si>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</si>
  <si>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</si>
  <si>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</si>
  <si>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</si>
  <si>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</si>
  <si>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</si>
  <si>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</si>
  <si>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</si>
  <si>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</si>
  <si>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</si>
  <si>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</si>
  <si>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</si>
  <si>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</si>
  <si>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</si>
  <si>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</si>
  <si>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</si>
  <si>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</si>
  <si>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</si>
  <si>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</si>
  <si>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</si>
  <si>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</si>
  <si>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</si>
  <si>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</si>
  <si>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</si>
  <si>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</si>
  <si>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</si>
  <si>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</si>
  <si>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</si>
  <si>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</si>
  <si>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</si>
  <si>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</si>
  <si>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</si>
  <si>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</si>
  <si>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</si>
  <si>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</si>
  <si>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</si>
  <si>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</si>
  <si>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</si>
  <si>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</si>
  <si>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</si>
  <si>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</si>
  <si>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</si>
  <si>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</si>
  <si>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</si>
  <si>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</si>
  <si>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</si>
  <si>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</si>
  <si>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</si>
  <si>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</si>
  <si>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</si>
  <si>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</si>
  <si>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</si>
  <si>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</si>
  <si>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</si>
  <si>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</si>
  <si>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</si>
  <si>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</si>
  <si>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</si>
  <si>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</si>
  <si>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</si>
  <si>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</si>
  <si>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</si>
  <si>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</si>
  <si>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</si>
  <si>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</si>
  <si>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</si>
  <si>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</si>
  <si>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</si>
  <si>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</si>
  <si>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</si>
  <si>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</si>
  <si>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</si>
  <si>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</si>
  <si>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</si>
  <si>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</si>
  <si>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</si>
  <si>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</si>
  <si>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</si>
  <si>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</si>
  <si>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</si>
  <si>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</si>
  <si>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</si>
  <si>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</si>
  <si>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</si>
  <si>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</si>
  <si>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</si>
  <si>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</si>
  <si>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</si>
  <si>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</si>
  <si>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</si>
  <si>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</si>
  <si>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</si>
  <si>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</si>
  <si>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</si>
  <si>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</si>
  <si>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</si>
  <si>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</si>
  <si>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</si>
  <si>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</si>
  <si>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</si>
  <si>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</si>
  <si>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</si>
  <si>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</si>
  <si>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</si>
  <si>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</si>
  <si>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</si>
  <si>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</si>
  <si>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</si>
  <si>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</si>
  <si>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</si>
  <si>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</si>
  <si>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</si>
  <si>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</si>
  <si>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</si>
  <si>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</si>
  <si>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</si>
  <si>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</si>
  <si>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</si>
  <si>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</si>
  <si>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</si>
  <si>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</si>
  <si>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</si>
  <si>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</si>
  <si>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</si>
  <si>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</si>
  <si>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</si>
  <si>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</si>
  <si>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</si>
  <si>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</si>
  <si>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</si>
  <si>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</si>
  <si>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</si>
  <si>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</si>
  <si>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</si>
  <si>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</si>
  <si>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</si>
  <si>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</si>
  <si>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</si>
  <si>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</si>
  <si>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</si>
  <si>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</si>
  <si>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</si>
  <si>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</si>
  <si>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</si>
  <si>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</si>
  <si>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</si>
  <si>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</si>
  <si>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</si>
  <si>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</si>
  <si>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</si>
  <si>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</si>
  <si>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</si>
  <si>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</si>
  <si>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</si>
  <si>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</si>
  <si>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</si>
  <si>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</si>
  <si>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</si>
  <si>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</si>
  <si>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</si>
  <si>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</si>
  <si>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</si>
  <si>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</si>
  <si>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</si>
  <si>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</si>
  <si>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</si>
  <si>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</si>
  <si>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</si>
  <si>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</si>
  <si>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</si>
  <si>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</si>
  <si>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</si>
  <si>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</si>
  <si>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</si>
  <si>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</si>
  <si>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</si>
  <si>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</si>
  <si>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</si>
  <si>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</si>
  <si>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</si>
  <si>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</si>
  <si>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</si>
  <si>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</si>
  <si>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</si>
  <si>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</si>
  <si>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</si>
  <si>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</si>
  <si>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</si>
  <si>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</si>
  <si>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</si>
  <si>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</si>
  <si>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</si>
  <si>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</si>
  <si>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</si>
  <si>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</si>
  <si>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</si>
  <si>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</si>
  <si>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</si>
  <si>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</si>
  <si>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</si>
  <si>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</si>
  <si>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</si>
  <si>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</si>
  <si>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</si>
  <si>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</si>
  <si>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</si>
  <si>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</si>
  <si>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</si>
  <si>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</si>
  <si>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</si>
  <si>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</si>
  <si>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</si>
  <si>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</si>
  <si>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</si>
  <si>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</si>
  <si>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</si>
  <si>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</si>
  <si>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</si>
  <si>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</si>
  <si>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</si>
  <si>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</si>
  <si>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</si>
  <si>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</si>
  <si>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</si>
  <si>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</si>
  <si>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</si>
  <si>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</si>
  <si>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</si>
  <si>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</si>
  <si>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</si>
  <si>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</si>
  <si>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</si>
  <si>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</si>
  <si>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</si>
  <si>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</si>
  <si>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</si>
  <si>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</si>
  <si>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</si>
  <si>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</si>
  <si>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</si>
  <si>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</si>
  <si>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</si>
  <si>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</si>
  <si>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</si>
  <si>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</si>
  <si>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</si>
  <si>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</si>
  <si>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</si>
  <si>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</si>
  <si>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</si>
  <si>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</si>
  <si>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</si>
  <si>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</si>
  <si>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</si>
  <si>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</si>
  <si>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</si>
  <si>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</si>
  <si>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</si>
  <si>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</si>
  <si>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</si>
  <si>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</si>
  <si>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</si>
  <si>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</si>
  <si>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</si>
  <si>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</si>
  <si>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</si>
  <si>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</si>
  <si>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</si>
  <si>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</si>
  <si>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</si>
  <si>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</si>
  <si>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</si>
  <si>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</si>
  <si>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</si>
  <si>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</si>
  <si>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</si>
  <si>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</si>
  <si>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</si>
  <si>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</si>
  <si>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</si>
  <si>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</si>
  <si>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</si>
  <si>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</si>
  <si>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</si>
  <si>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</si>
  <si>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</si>
  <si>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</si>
  <si>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</si>
  <si>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</si>
  <si>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</si>
  <si>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</si>
  <si>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</si>
  <si>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</si>
  <si>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</si>
  <si>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</si>
  <si>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</si>
  <si>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</si>
  <si>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</si>
  <si>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</si>
  <si>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</si>
  <si>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</si>
  <si>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</si>
  <si>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</si>
  <si>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</si>
  <si>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</si>
  <si>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</si>
  <si>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</si>
  <si>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</si>
  <si>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</si>
  <si>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</si>
  <si>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</si>
  <si>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</si>
  <si>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</si>
  <si>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</si>
  <si>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</si>
  <si>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</si>
  <si>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</si>
  <si>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</si>
  <si>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</si>
  <si>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</si>
  <si>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</si>
  <si>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</si>
  <si>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</si>
  <si>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</si>
  <si>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</si>
  <si>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</si>
  <si>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</si>
  <si>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</si>
  <si>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</si>
  <si>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</si>
  <si>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</si>
  <si>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</si>
  <si>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</si>
  <si>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</si>
  <si>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</si>
  <si>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</si>
  <si>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</si>
  <si>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</si>
  <si>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</si>
  <si>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</si>
  <si>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</si>
  <si>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</si>
  <si>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</si>
  <si>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</si>
  <si>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</si>
  <si>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</si>
  <si>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</si>
  <si>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</si>
  <si>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</si>
  <si>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</si>
  <si>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</si>
  <si>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</si>
  <si>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</si>
  <si>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</si>
  <si>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</si>
  <si>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</si>
  <si>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</si>
  <si>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</si>
  <si>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</si>
  <si>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</si>
  <si>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</si>
  <si>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</si>
  <si>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</si>
  <si>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</si>
  <si>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</si>
  <si>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</si>
  <si>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</si>
  <si>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</si>
  <si>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</si>
  <si>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</si>
  <si>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</si>
  <si>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</si>
  <si>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</si>
  <si>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</si>
  <si>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</si>
  <si>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</si>
  <si>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</si>
  <si>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</si>
  <si>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</si>
  <si>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</si>
  <si>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</si>
  <si>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</si>
  <si>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</si>
  <si>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</si>
  <si>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</si>
  <si>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</si>
  <si>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</si>
  <si>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</si>
  <si>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</si>
  <si>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</si>
  <si>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</si>
  <si>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</si>
  <si>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</si>
  <si>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</si>
  <si>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</si>
  <si>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</si>
  <si>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</si>
  <si>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</si>
  <si>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</si>
  <si>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</si>
  <si>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</si>
  <si>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</si>
  <si>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</si>
  <si>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</si>
  <si>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</si>
  <si>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</si>
  <si>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</si>
  <si>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</si>
  <si>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</si>
  <si>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</si>
  <si>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</si>
  <si>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</si>
  <si>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</si>
  <si>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</si>
  <si>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</si>
  <si>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</si>
  <si>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</si>
  <si>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</si>
  <si>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</si>
  <si>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</si>
  <si>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</si>
  <si>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</si>
  <si>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</si>
  <si>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</si>
  <si>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</si>
  <si>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</si>
  <si>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</si>
  <si>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</si>
  <si>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</si>
  <si>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</si>
  <si>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</si>
  <si>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</si>
  <si>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</si>
  <si>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</si>
  <si>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</si>
  <si>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</si>
  <si>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</si>
  <si>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</si>
  <si>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</si>
  <si>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</si>
  <si>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</si>
  <si>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</si>
  <si>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</si>
  <si>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</si>
  <si>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</si>
  <si>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</si>
  <si>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</si>
  <si>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</si>
  <si>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</si>
  <si>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</si>
  <si>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</si>
  <si>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</si>
  <si>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</si>
  <si>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</si>
  <si>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</si>
  <si>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</si>
  <si>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</si>
  <si>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</si>
  <si>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</si>
  <si>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</si>
  <si>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</si>
  <si>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</si>
  <si>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</si>
  <si>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</si>
  <si>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</si>
  <si>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</si>
  <si>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</si>
  <si>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</si>
  <si>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</si>
  <si>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</si>
  <si>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</si>
  <si>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</si>
  <si>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</si>
  <si>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</si>
  <si>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</si>
  <si>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</si>
  <si>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</si>
  <si>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</si>
  <si>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</si>
  <si>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</si>
  <si>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</si>
  <si>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</si>
  <si>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</si>
  <si>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</si>
  <si>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</si>
  <si>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</si>
  <si>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</si>
  <si>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</si>
  <si>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</si>
  <si>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</si>
  <si>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</si>
  <si>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</si>
  <si>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</si>
  <si>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</si>
  <si>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</si>
  <si>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</si>
  <si>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</si>
  <si>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</si>
  <si>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</si>
  <si>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</si>
  <si>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</si>
  <si>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</si>
  <si>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</si>
  <si>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</si>
  <si>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</si>
  <si>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</si>
  <si>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</si>
  <si>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</si>
  <si>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</si>
  <si>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</si>
  <si>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</si>
  <si>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</si>
  <si>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</si>
  <si>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</si>
  <si>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</si>
  <si>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</si>
  <si>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</si>
  <si>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</si>
  <si>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</si>
  <si>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</si>
  <si>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</si>
  <si>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</si>
  <si>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</si>
  <si>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</si>
  <si>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</si>
  <si>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</si>
  <si>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</si>
  <si>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</si>
  <si>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</si>
  <si>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</si>
  <si>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</si>
  <si>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</si>
  <si>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</si>
  <si>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</si>
  <si>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</si>
  <si>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</si>
  <si>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</si>
  <si>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</si>
  <si>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</si>
  <si>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</si>
  <si>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</si>
  <si>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</si>
  <si>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</si>
  <si>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</si>
  <si>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</si>
  <si>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</si>
  <si>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</si>
  <si>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</si>
  <si>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</si>
  <si>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</si>
  <si>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</si>
  <si>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</si>
  <si>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</si>
  <si>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</si>
  <si>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</si>
  <si>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</si>
  <si>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</si>
  <si>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</si>
  <si>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</si>
  <si>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</si>
  <si>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</si>
  <si>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</si>
  <si>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</si>
  <si>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</si>
  <si>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</si>
  <si>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</si>
  <si>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</si>
  <si>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</si>
  <si>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</si>
  <si>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</si>
  <si>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</si>
  <si>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</si>
  <si>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</si>
  <si>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</si>
  <si>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</si>
  <si>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</si>
  <si>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</si>
  <si>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</si>
  <si>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</si>
  <si>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</si>
  <si>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</si>
  <si>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</si>
  <si>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</si>
  <si>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</si>
  <si>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</si>
  <si>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</si>
  <si>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</si>
  <si>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</si>
  <si>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</si>
  <si>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</si>
  <si>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</si>
  <si>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</si>
  <si>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</si>
  <si>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</si>
  <si>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</si>
  <si>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</si>
  <si>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</si>
  <si>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</si>
  <si>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</si>
  <si>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</si>
  <si>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</si>
  <si>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</si>
  <si>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</si>
  <si>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</si>
  <si>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</si>
  <si>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</si>
  <si>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</si>
  <si>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</si>
  <si>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</si>
  <si>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</si>
  <si>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</si>
  <si>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</si>
  <si>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</si>
  <si>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</si>
  <si>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</si>
  <si>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</si>
  <si>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</si>
  <si>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</si>
  <si>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</si>
  <si>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</si>
  <si>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</si>
  <si>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</si>
  <si>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</si>
  <si>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</si>
  <si>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</si>
  <si>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</si>
  <si>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</si>
  <si>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</si>
  <si>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</si>
  <si>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</si>
  <si>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</si>
  <si>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</si>
  <si>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</si>
  <si>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</si>
  <si>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</si>
  <si>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</si>
  <si>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</si>
  <si>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</si>
  <si>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</si>
  <si>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</si>
  <si>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</si>
  <si>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</si>
  <si>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</si>
  <si>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</si>
  <si>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</si>
  <si>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</si>
  <si>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</si>
  <si>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</si>
  <si>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</si>
  <si>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</si>
  <si>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</si>
  <si>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</si>
  <si>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</si>
  <si>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</si>
  <si>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</si>
  <si>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</si>
  <si>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</si>
  <si>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</si>
  <si>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</si>
  <si>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</si>
  <si>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</si>
  <si>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</si>
  <si>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</si>
  <si>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</si>
  <si>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</si>
  <si>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</si>
  <si>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</si>
  <si>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</si>
  <si>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</si>
  <si>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</si>
  <si>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</si>
  <si>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</si>
  <si>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</si>
  <si>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</si>
  <si>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</si>
  <si>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</si>
  <si>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</si>
  <si>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</si>
  <si>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</si>
  <si>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</si>
  <si>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</si>
  <si>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</si>
  <si>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</si>
  <si>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</si>
  <si>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</si>
  <si>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</si>
  <si>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</si>
  <si>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</si>
  <si>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</si>
  <si>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</si>
  <si>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</si>
  <si>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</si>
  <si>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</si>
  <si>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</si>
  <si>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</si>
  <si>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</si>
  <si>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</si>
  <si>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</si>
  <si>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</si>
  <si>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</si>
  <si>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</si>
  <si>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</si>
  <si>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</si>
  <si>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</si>
  <si>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</si>
  <si>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</si>
  <si>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</si>
  <si>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</si>
  <si>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</si>
  <si>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</si>
  <si>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</si>
  <si>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</si>
  <si>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</si>
  <si>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</si>
  <si>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</si>
  <si>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</si>
  <si>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</si>
  <si>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</si>
  <si>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</si>
  <si>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</si>
  <si>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</si>
  <si>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</si>
  <si>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</si>
  <si>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</si>
  <si>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</si>
  <si>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</si>
  <si>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</si>
  <si>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</si>
  <si>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</si>
  <si>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</si>
  <si>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</si>
  <si>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</si>
  <si>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</si>
  <si>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</si>
  <si>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</si>
  <si>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</si>
  <si>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</si>
  <si>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</si>
  <si>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</si>
  <si>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</si>
  <si>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</si>
  <si>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</si>
  <si>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</si>
  <si>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</si>
  <si>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</si>
  <si>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</si>
  <si>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</si>
  <si>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</si>
  <si>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</si>
  <si>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</si>
  <si>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</si>
  <si>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</si>
  <si>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</si>
  <si>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</si>
  <si>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</si>
  <si>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</si>
  <si>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</si>
  <si>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</si>
  <si>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</si>
  <si>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</si>
  <si>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</si>
  <si>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</si>
  <si>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</si>
  <si>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</si>
  <si>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</si>
  <si>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</si>
  <si>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</si>
  <si>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</si>
  <si>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</si>
  <si>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</si>
  <si>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</si>
  <si>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</si>
  <si>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</si>
  <si>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</si>
  <si>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</si>
  <si>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</si>
  <si>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</si>
  <si>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</si>
  <si>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</si>
  <si>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</si>
  <si>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</si>
  <si>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</si>
  <si>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</si>
  <si>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</si>
  <si>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</si>
  <si>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</si>
  <si>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</si>
  <si>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</si>
  <si>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</si>
  <si>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</si>
  <si>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</si>
  <si>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</si>
  <si>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</si>
  <si>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</si>
  <si>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</si>
  <si>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</si>
  <si>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</si>
  <si>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</si>
  <si>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</si>
  <si>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</si>
  <si>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</si>
  <si>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</si>
  <si>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</si>
  <si>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</si>
  <si>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</si>
  <si>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</si>
  <si>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</si>
  <si>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</si>
  <si>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</si>
  <si>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</si>
  <si>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</si>
  <si>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</si>
  <si>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</si>
  <si>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</si>
  <si>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</si>
  <si>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</si>
  <si>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</si>
  <si>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</si>
  <si>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</si>
  <si>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</si>
  <si>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</si>
  <si>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</si>
  <si>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</si>
  <si>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</si>
  <si>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</si>
  <si>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</si>
  <si>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</si>
  <si>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</si>
  <si>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</si>
  <si>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</si>
  <si>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</si>
  <si>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</si>
  <si>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</si>
  <si>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</si>
  <si>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</si>
  <si>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</si>
  <si>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</si>
  <si>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</si>
  <si>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</si>
  <si>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</si>
  <si>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</si>
  <si>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</si>
  <si>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</si>
  <si>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</si>
  <si>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</si>
  <si>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</si>
  <si>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</si>
  <si>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</si>
  <si>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</si>
  <si>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</si>
  <si>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</si>
  <si>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</si>
  <si>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</si>
  <si>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</si>
  <si>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</si>
  <si>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</si>
  <si>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</si>
  <si>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</si>
  <si>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</si>
  <si>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</si>
  <si>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</si>
  <si>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</si>
  <si>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</si>
  <si>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</si>
  <si>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</si>
  <si>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</si>
  <si>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</si>
  <si>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</si>
  <si>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</si>
  <si>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</si>
  <si>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</si>
  <si>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</si>
  <si>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</si>
  <si>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</si>
  <si>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</si>
  <si>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</si>
  <si>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</si>
  <si>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</si>
  <si>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</si>
  <si>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</si>
  <si>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</si>
  <si>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</si>
  <si>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</si>
  <si>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</si>
  <si>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</si>
  <si>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</si>
  <si>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</si>
  <si>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</si>
  <si>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</si>
  <si>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</si>
  <si>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</si>
  <si>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</si>
  <si>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</si>
  <si>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</si>
  <si>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</si>
  <si>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</si>
  <si>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</si>
  <si>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</si>
  <si>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</si>
  <si>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</si>
  <si>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</si>
  <si>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</si>
  <si>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</si>
  <si>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</si>
  <si>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</si>
  <si>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</si>
  <si>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</si>
  <si>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</si>
  <si>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</si>
  <si>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</si>
  <si>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</si>
  <si>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</si>
  <si>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</si>
  <si>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</si>
  <si>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</si>
  <si>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</si>
  <si>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</si>
  <si>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</si>
  <si>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</si>
  <si>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</si>
  <si>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</si>
  <si>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</si>
  <si>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</si>
  <si>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</si>
  <si>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</si>
  <si>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</si>
  <si>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</si>
  <si>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</si>
  <si>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</si>
  <si>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</si>
  <si>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</si>
  <si>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</si>
  <si>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</si>
  <si>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</si>
  <si>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</si>
  <si>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</si>
  <si>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</si>
  <si>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</si>
  <si>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</si>
  <si>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</si>
  <si>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</si>
  <si>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</si>
  <si>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</si>
  <si>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</si>
  <si>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</si>
  <si>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</si>
  <si>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</si>
  <si>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</si>
  <si>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</si>
  <si>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</si>
  <si>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</si>
  <si>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</si>
  <si>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</si>
  <si>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</si>
  <si>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</si>
  <si>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</si>
  <si>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</si>
  <si>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</si>
  <si>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</si>
  <si>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</si>
  <si>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</si>
  <si>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</si>
  <si>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</si>
  <si>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</si>
  <si>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</si>
  <si>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</si>
  <si>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</si>
  <si>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</si>
  <si>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</si>
  <si>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</si>
  <si>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</si>
  <si>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</si>
  <si>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</si>
  <si>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</si>
  <si>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</si>
  <si>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</si>
  <si>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</si>
  <si>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</si>
  <si>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</si>
  <si>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</si>
  <si>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</si>
  <si>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</si>
  <si>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</si>
  <si>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</si>
  <si>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</si>
  <si>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</si>
  <si>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</si>
  <si>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</si>
  <si>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</si>
  <si>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</si>
  <si>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</si>
  <si>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</si>
  <si>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</si>
  <si>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</si>
  <si>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</si>
  <si>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</si>
  <si>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</si>
  <si>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</si>
  <si>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</si>
  <si>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</si>
  <si>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</si>
  <si>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</si>
  <si>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</si>
  <si>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</si>
  <si>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</si>
  <si>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</si>
  <si>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</si>
  <si>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</si>
  <si>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</si>
  <si>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</si>
  <si>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</si>
  <si>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</si>
  <si>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</si>
  <si>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</si>
  <si>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</si>
  <si>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</si>
  <si>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</si>
  <si>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</si>
  <si>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</si>
  <si>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</si>
  <si>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</si>
  <si>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</si>
  <si>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</si>
  <si>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</si>
  <si>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</si>
  <si>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</si>
  <si>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</si>
  <si>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</si>
  <si>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</si>
  <si>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</si>
  <si>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</si>
  <si>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</si>
  <si>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</si>
  <si>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</si>
  <si>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</si>
  <si>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</si>
  <si>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</si>
  <si>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</si>
  <si>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</si>
  <si>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</si>
  <si>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</si>
  <si>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</si>
  <si>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</si>
  <si>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</si>
  <si>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</si>
  <si>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</si>
  <si>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</si>
  <si>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</si>
  <si>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</si>
  <si>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</si>
  <si>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</si>
  <si>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</si>
  <si>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</si>
  <si>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</si>
  <si>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</si>
  <si>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</si>
  <si>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</si>
  <si>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</si>
  <si>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</si>
  <si>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</si>
  <si>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</si>
  <si>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</si>
  <si>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</si>
  <si>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</si>
  <si>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</si>
  <si>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</si>
  <si>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</si>
  <si>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</si>
  <si>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</si>
  <si>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</si>
  <si>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</si>
  <si>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</si>
  <si>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</si>
  <si>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</si>
  <si>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</si>
  <si>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</si>
  <si>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</si>
  <si>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</si>
  <si>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</si>
  <si>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</si>
  <si>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</si>
  <si>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</si>
  <si>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</si>
  <si>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</si>
  <si>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</si>
  <si>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</si>
  <si>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</si>
  <si>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</si>
  <si>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</si>
  <si>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</si>
  <si>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</si>
  <si>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</si>
  <si>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</si>
  <si>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</si>
  <si>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</si>
  <si>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</si>
  <si>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</si>
  <si>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</si>
  <si>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</si>
  <si>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</si>
  <si>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</si>
  <si>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</si>
  <si>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</si>
  <si>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</si>
  <si>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</si>
  <si>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</si>
  <si>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</si>
  <si>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</si>
  <si>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</si>
  <si>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</si>
  <si>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</si>
  <si>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</si>
  <si>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</si>
  <si>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</si>
  <si>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</si>
  <si>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</si>
  <si>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</si>
  <si>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</si>
  <si>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</si>
  <si>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</si>
  <si>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</si>
  <si>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</si>
  <si>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</si>
  <si>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</si>
  <si>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</si>
  <si>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</si>
  <si>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</si>
  <si>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</si>
  <si>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</si>
  <si>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</si>
  <si>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</si>
  <si>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</si>
  <si>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</si>
  <si>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</si>
  <si>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</si>
  <si>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</si>
  <si>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</si>
  <si>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</si>
  <si>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</si>
  <si>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</si>
  <si>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</si>
  <si>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</si>
  <si>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</si>
  <si>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</si>
  <si>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</si>
  <si>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</si>
  <si>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</si>
  <si>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</si>
  <si>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</si>
  <si>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</si>
  <si>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</si>
  <si>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</si>
  <si>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</si>
  <si>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</si>
  <si>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</si>
  <si>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</si>
  <si>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</si>
  <si>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</si>
  <si>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</si>
  <si>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</si>
  <si>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</si>
  <si>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</si>
  <si>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</si>
  <si>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</si>
  <si>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</si>
  <si>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</si>
  <si>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</si>
  <si>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</si>
  <si>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</si>
  <si>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</si>
  <si>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</si>
  <si>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</si>
  <si>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</si>
  <si>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</si>
  <si>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</si>
  <si>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</si>
  <si>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</si>
  <si>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</si>
  <si>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</si>
  <si>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</si>
  <si>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</si>
  <si>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</si>
  <si>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</si>
  <si>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</si>
  <si>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</si>
  <si>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</si>
  <si>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</si>
  <si>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</si>
  <si>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</si>
  <si>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</si>
  <si>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</si>
  <si>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</si>
  <si>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</si>
  <si>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</si>
  <si>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</si>
  <si>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</si>
  <si>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</si>
  <si>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</si>
  <si>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</si>
  <si>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</si>
  <si>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</si>
  <si>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</si>
  <si>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</si>
  <si>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</si>
  <si>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</si>
  <si>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</si>
  <si>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</si>
  <si>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</si>
  <si>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</si>
  <si>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</si>
  <si>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</si>
  <si>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</si>
  <si>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</si>
  <si>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</si>
  <si>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</si>
  <si>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</si>
  <si>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</si>
  <si>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</si>
  <si>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</si>
  <si>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</si>
  <si>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</si>
  <si>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</si>
  <si>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</si>
  <si>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</si>
  <si>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</si>
  <si>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</si>
  <si>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</si>
  <si>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</si>
  <si>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</si>
  <si>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</si>
  <si>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</si>
  <si>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</si>
  <si>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</si>
  <si>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</si>
  <si>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</si>
  <si>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</si>
  <si>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</si>
  <si>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</si>
  <si>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</si>
  <si>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</si>
  <si>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</si>
  <si>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</si>
  <si>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</si>
  <si>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</si>
  <si>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</si>
  <si>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</si>
  <si>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</si>
  <si>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</si>
  <si>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</si>
  <si>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</si>
  <si>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</si>
  <si>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</si>
  <si>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</si>
  <si>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</si>
  <si>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</si>
  <si>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</si>
  <si>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</si>
  <si>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</si>
  <si>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</si>
  <si>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</si>
  <si>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</si>
  <si>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</si>
  <si>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</si>
  <si>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</si>
  <si>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</si>
  <si>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</si>
  <si>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</si>
  <si>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</si>
  <si>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</si>
  <si>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</si>
  <si>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</si>
  <si>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</si>
  <si>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</si>
  <si>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</si>
  <si>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</si>
  <si>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</si>
  <si>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</si>
  <si>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</si>
  <si>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</si>
  <si>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</si>
  <si>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</si>
  <si>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</si>
  <si>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</si>
  <si>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</si>
  <si>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</si>
  <si>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</si>
  <si>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</si>
  <si>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</si>
  <si>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</si>
  <si>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</si>
  <si>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</si>
  <si>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</si>
  <si>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</si>
  <si>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</si>
  <si>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</si>
  <si>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</si>
  <si>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</si>
  <si>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</si>
  <si>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</si>
  <si>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</si>
  <si>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</si>
  <si>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</si>
  <si>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</si>
  <si>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</si>
  <si>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</si>
  <si>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</si>
  <si>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</si>
  <si>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</si>
  <si>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</si>
  <si>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</si>
  <si>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</si>
  <si>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</si>
  <si>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</si>
  <si>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</si>
  <si>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</si>
  <si>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</si>
  <si>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</si>
  <si>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</si>
  <si>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</si>
  <si>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</si>
  <si>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</si>
  <si>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</si>
  <si>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</si>
  <si>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</si>
  <si>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</si>
  <si>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</si>
  <si>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</si>
  <si>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</si>
  <si>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</si>
  <si>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</si>
  <si>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</si>
  <si>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</si>
  <si>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</si>
  <si>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</si>
  <si>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</si>
  <si>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</si>
  <si>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</si>
  <si>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</si>
  <si>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</si>
  <si>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</si>
  <si>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</si>
  <si>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</si>
  <si>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</si>
  <si>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</si>
  <si>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</si>
  <si>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</si>
  <si>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</si>
  <si>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</si>
  <si>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</si>
  <si>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</si>
  <si>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</si>
  <si>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</si>
  <si>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</si>
  <si>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</si>
  <si>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</si>
  <si>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</si>
  <si>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</si>
  <si>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</si>
  <si>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</si>
  <si>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</si>
  <si>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</si>
  <si>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</si>
  <si>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</si>
  <si>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</si>
  <si>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</si>
  <si>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</si>
  <si>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</si>
  <si>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</si>
  <si>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</si>
  <si>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</si>
  <si>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</si>
  <si>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</si>
  <si>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</si>
  <si>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</si>
  <si>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</si>
  <si>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</si>
  <si>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</si>
  <si>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</si>
  <si>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</si>
  <si>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</si>
  <si>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</si>
  <si>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</si>
  <si>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</si>
  <si>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</si>
  <si>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</si>
  <si>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</si>
  <si>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</si>
  <si>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</si>
  <si>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</si>
  <si>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</si>
  <si>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</si>
  <si>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</si>
  <si>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</si>
  <si>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</si>
  <si>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</si>
  <si>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</si>
  <si>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</si>
  <si>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</si>
  <si>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</si>
  <si>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</si>
  <si>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</si>
  <si>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</si>
  <si>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</si>
  <si>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</si>
  <si>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</si>
  <si>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</si>
  <si>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</si>
  <si>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</si>
  <si>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</si>
  <si>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</si>
  <si>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</si>
  <si>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</si>
  <si>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</si>
  <si>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</si>
  <si>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</si>
  <si>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</si>
  <si>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</si>
  <si>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</si>
  <si>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</si>
  <si>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</si>
  <si>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</si>
  <si>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</si>
  <si>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</si>
  <si>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</si>
  <si>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</si>
  <si>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</si>
  <si>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</si>
  <si>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</si>
  <si>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</si>
  <si>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</si>
  <si>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</si>
  <si>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</si>
  <si>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</si>
  <si>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</si>
  <si>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</si>
  <si>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</si>
  <si>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</si>
  <si>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</si>
  <si>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</si>
  <si>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</si>
  <si>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</si>
  <si>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</si>
  <si>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</si>
  <si>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</si>
  <si>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</si>
  <si>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</si>
  <si>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</si>
  <si>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</si>
  <si>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</si>
  <si>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</si>
  <si>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</si>
  <si>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</si>
  <si>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</si>
  <si>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</si>
  <si>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</si>
  <si>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</si>
  <si>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</si>
  <si>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</si>
  <si>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</si>
  <si>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</si>
  <si>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</si>
  <si>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</si>
  <si>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</si>
  <si>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</si>
  <si>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</si>
  <si>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</si>
  <si>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</si>
  <si>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</si>
  <si>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</si>
  <si>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</si>
  <si>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</si>
  <si>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</si>
  <si>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</si>
  <si>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</si>
  <si>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</si>
  <si>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</si>
  <si>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</si>
  <si>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</si>
  <si>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</si>
  <si>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</si>
  <si>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</si>
  <si>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</si>
  <si>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</si>
  <si>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</si>
  <si>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</si>
  <si>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</si>
  <si>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</si>
  <si>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</si>
  <si>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</si>
  <si>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</si>
  <si>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</si>
  <si>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</si>
  <si>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</si>
  <si>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</si>
  <si>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</si>
  <si>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</si>
  <si>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</si>
  <si>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</si>
  <si>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</si>
  <si>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</si>
  <si>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</si>
  <si>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</si>
  <si>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</si>
  <si>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</si>
  <si>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</si>
  <si>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</si>
  <si>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</si>
  <si>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</si>
  <si>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</si>
  <si>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</si>
  <si>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</si>
  <si>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</si>
  <si>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</si>
  <si>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</si>
  <si>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</si>
  <si>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</si>
  <si>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</si>
  <si>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</si>
  <si>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</si>
  <si>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</si>
  <si>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</si>
  <si>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</si>
  <si>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</si>
  <si>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</si>
  <si>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</si>
  <si>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</si>
  <si>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</si>
  <si>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</si>
  <si>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</si>
  <si>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</si>
  <si>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</si>
  <si>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</si>
  <si>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</si>
  <si>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</si>
  <si>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</si>
  <si>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</si>
  <si>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</si>
  <si>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</si>
  <si>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</si>
  <si>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</si>
  <si>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</si>
  <si>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</si>
  <si>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</si>
  <si>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</si>
  <si>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</si>
  <si>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</si>
  <si>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</si>
  <si>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</si>
  <si>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</si>
  <si>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</si>
  <si>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</si>
  <si>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</si>
  <si>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</si>
  <si>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</si>
  <si>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</si>
  <si>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</si>
  <si>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</si>
  <si>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</si>
  <si>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</si>
  <si>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</si>
  <si>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</si>
  <si>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</si>
  <si>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</si>
  <si>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</si>
  <si>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</si>
  <si>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</si>
  <si>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</si>
  <si>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</si>
  <si>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</si>
  <si>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</si>
  <si>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</si>
  <si>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</si>
  <si>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</si>
  <si>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</si>
  <si>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</si>
  <si>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</si>
  <si>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</si>
  <si>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</si>
  <si>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</si>
  <si>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</si>
  <si>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</si>
  <si>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</si>
  <si>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</si>
  <si>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</si>
  <si>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</si>
  <si>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</si>
  <si>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</si>
  <si>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</si>
  <si>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</si>
  <si>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</si>
  <si>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</si>
  <si>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</si>
  <si>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</si>
  <si>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</si>
  <si>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</si>
  <si>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</si>
  <si>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</si>
  <si>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</si>
  <si>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</si>
  <si>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</si>
  <si>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</si>
  <si>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</si>
  <si>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</si>
  <si>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</si>
  <si>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</si>
  <si>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</si>
  <si>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</si>
  <si>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</si>
  <si>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</si>
  <si>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</si>
  <si>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</si>
  <si>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</si>
  <si>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</si>
  <si>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</si>
  <si>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</si>
  <si>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</si>
  <si>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</si>
  <si>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</si>
  <si>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</si>
  <si>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</si>
  <si>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</si>
  <si>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</si>
  <si>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</si>
  <si>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</si>
  <si>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</si>
  <si>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</si>
  <si>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</si>
  <si>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</si>
  <si>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</si>
  <si>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</si>
  <si>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</si>
  <si>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</si>
  <si>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</si>
  <si>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</si>
  <si>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</si>
  <si>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</si>
  <si>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</si>
  <si>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</si>
  <si>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</si>
  <si>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</si>
  <si>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</si>
  <si>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</si>
  <si>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</si>
  <si>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</si>
  <si>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</si>
  <si>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</si>
  <si>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</si>
  <si>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</si>
  <si>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</si>
  <si>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</si>
  <si>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</si>
  <si>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</si>
  <si>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</si>
  <si>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</si>
  <si>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</si>
  <si>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</si>
  <si>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</si>
  <si>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</si>
  <si>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</si>
  <si>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</si>
  <si>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</si>
  <si>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</si>
  <si>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</si>
  <si>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</si>
  <si>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</si>
  <si>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</si>
  <si>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</si>
  <si>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</si>
  <si>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</si>
  <si>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</si>
  <si>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</si>
  <si>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</si>
  <si>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</si>
  <si>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</si>
  <si>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</si>
  <si>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</si>
  <si>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</si>
  <si>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</si>
  <si>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</si>
  <si>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</si>
  <si>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</si>
  <si>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</si>
  <si>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</si>
  <si>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</si>
  <si>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</si>
  <si>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</si>
  <si>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</si>
  <si>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</si>
  <si>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</si>
  <si>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</si>
  <si>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</si>
  <si>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</si>
  <si>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</si>
  <si>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</si>
  <si>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</si>
  <si>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</si>
  <si>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</si>
  <si>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</si>
  <si>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</si>
  <si>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</si>
  <si>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</si>
  <si>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</si>
  <si>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</si>
  <si>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</si>
  <si>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</si>
  <si>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</si>
  <si>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</si>
  <si>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</si>
  <si>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</si>
  <si>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</si>
  <si>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</si>
  <si>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</si>
  <si>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</si>
  <si>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</si>
  <si>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</si>
  <si>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</si>
  <si>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</si>
  <si>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</si>
  <si>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</si>
  <si>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</si>
  <si>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</si>
  <si>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</si>
  <si>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</si>
  <si>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</si>
  <si>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</si>
  <si>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</si>
  <si>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</si>
  <si>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</si>
  <si>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</si>
  <si>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</si>
  <si>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</si>
  <si>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</si>
  <si>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</si>
  <si>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</si>
  <si>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</si>
  <si>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</si>
  <si>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</si>
  <si>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</si>
  <si>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</si>
  <si>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</si>
  <si>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</si>
  <si>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</si>
  <si>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</si>
  <si>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</si>
  <si>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</si>
  <si>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</si>
  <si>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</si>
  <si>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</si>
  <si>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</si>
  <si>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</si>
  <si>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</si>
  <si>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</si>
  <si>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</si>
  <si>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</si>
  <si>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</si>
  <si>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</si>
  <si>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</si>
  <si>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</si>
  <si>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</si>
  <si>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</si>
  <si>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</si>
  <si>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</si>
  <si>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</si>
  <si>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</si>
  <si>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</si>
  <si>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</si>
  <si>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</si>
  <si>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</si>
  <si>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</si>
  <si>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</si>
  <si>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</si>
  <si>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</si>
  <si>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</si>
  <si>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</si>
  <si>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</si>
  <si>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</si>
  <si>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</si>
  <si>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</si>
  <si>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</si>
  <si>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</si>
  <si>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</si>
  <si>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</si>
  <si>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</si>
  <si>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</si>
  <si>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</si>
  <si>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</si>
  <si>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</si>
  <si>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</si>
  <si>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</si>
  <si>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</si>
  <si>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</si>
  <si>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</si>
  <si>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</si>
  <si>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</si>
  <si>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</si>
  <si>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</si>
  <si>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</si>
  <si>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</si>
  <si>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</si>
  <si>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</si>
  <si>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</si>
  <si>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</si>
  <si>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</si>
  <si>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</si>
  <si>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</si>
  <si>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</si>
  <si>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</si>
  <si>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</si>
  <si>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</si>
  <si>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</si>
  <si>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</si>
  <si>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</si>
  <si>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</si>
  <si>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</si>
  <si>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</si>
  <si>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</si>
  <si>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</si>
  <si>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</si>
  <si>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</si>
  <si>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</si>
  <si>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</si>
  <si>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</si>
  <si>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</si>
  <si>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</si>
  <si>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</si>
  <si>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</si>
  <si>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</si>
  <si>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</si>
  <si>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</si>
  <si>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</si>
  <si>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</si>
  <si>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</si>
  <si>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</si>
  <si>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</si>
  <si>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</si>
  <si>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</si>
  <si>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</si>
  <si>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</si>
  <si>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</si>
  <si>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</si>
  <si>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</si>
  <si>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</si>
  <si>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</si>
  <si>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</si>
  <si>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</si>
  <si>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</si>
  <si>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</si>
  <si>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</si>
  <si>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</si>
  <si>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</si>
  <si>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</si>
  <si>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</si>
  <si>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</si>
  <si>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</si>
  <si>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</si>
  <si>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</si>
  <si>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</si>
  <si>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</si>
  <si>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</si>
  <si>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</si>
  <si>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</si>
  <si>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</si>
  <si>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</si>
  <si>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</si>
  <si>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</si>
  <si>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</si>
  <si>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</si>
  <si>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</si>
  <si>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</si>
  <si>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</si>
  <si>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</si>
  <si>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</si>
  <si>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</si>
  <si>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</si>
  <si>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</si>
  <si>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</si>
  <si>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</si>
  <si>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</si>
  <si>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</si>
  <si>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</si>
  <si>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</si>
  <si>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</si>
  <si>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</si>
  <si>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</si>
  <si>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</si>
  <si>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</si>
  <si>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</si>
  <si>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</si>
  <si>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</si>
  <si>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</si>
  <si>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</si>
  <si>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</si>
  <si>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</si>
  <si>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</si>
  <si>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</si>
  <si>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</si>
  <si>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</si>
  <si>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</si>
  <si>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</si>
  <si>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</si>
  <si>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</si>
  <si>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</si>
  <si>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</si>
  <si>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</si>
  <si>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</si>
  <si>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</si>
  <si>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</si>
  <si>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</si>
  <si>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</si>
  <si>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</si>
  <si>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</si>
  <si>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</si>
  <si>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</si>
  <si>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</si>
  <si>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</si>
  <si>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</si>
  <si>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</si>
  <si>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</si>
  <si>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</si>
  <si>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</si>
  <si>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</si>
  <si>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</si>
  <si>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</si>
  <si>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</si>
  <si>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</si>
  <si>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</si>
  <si>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</si>
  <si>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</si>
  <si>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</si>
  <si>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</si>
  <si>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</si>
  <si>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</si>
  <si>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</si>
  <si>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</si>
  <si>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</si>
  <si>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</si>
  <si>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</si>
  <si>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</si>
  <si>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</si>
  <si>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</si>
  <si>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</si>
  <si>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</si>
  <si>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</si>
  <si>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</si>
  <si>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</si>
  <si>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</si>
  <si>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</si>
  <si>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</si>
  <si>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</si>
  <si>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</si>
  <si>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</si>
  <si>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</si>
  <si>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</si>
  <si>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</si>
  <si>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</si>
  <si>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</si>
  <si>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</si>
  <si>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</si>
  <si>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</si>
  <si>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</si>
  <si>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</si>
  <si>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</si>
  <si>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</si>
  <si>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</si>
  <si>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</si>
  <si>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</si>
  <si>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</si>
  <si>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</si>
  <si>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</si>
  <si>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</si>
  <si>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</si>
  <si>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</si>
  <si>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</si>
  <si>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</si>
  <si>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</si>
  <si>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</si>
  <si>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</si>
  <si>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</si>
  <si>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</si>
  <si>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</si>
  <si>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</si>
  <si>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</si>
  <si>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</si>
  <si>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</si>
  <si>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</si>
  <si>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</si>
  <si>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</si>
  <si>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</si>
  <si>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</si>
  <si>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</si>
  <si>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</si>
  <si>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</si>
  <si>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</si>
  <si>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</si>
  <si>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</si>
  <si>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</si>
  <si>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</si>
  <si>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</si>
  <si>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</si>
  <si>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</si>
  <si>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</si>
  <si>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</si>
  <si>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</si>
  <si>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</si>
  <si>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</si>
  <si>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</si>
  <si>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</si>
  <si>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</si>
  <si>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</si>
  <si>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</si>
  <si>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</si>
  <si>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</si>
  <si>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</si>
  <si>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</si>
  <si>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</si>
  <si>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</si>
  <si>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</si>
  <si>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</si>
  <si>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</si>
  <si>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</si>
  <si>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</si>
  <si>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</si>
  <si>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</si>
  <si>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</si>
  <si>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</si>
  <si>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</si>
  <si>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</si>
  <si>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</si>
  <si>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</si>
  <si>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</si>
  <si>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</si>
  <si>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</si>
  <si>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</si>
  <si>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</si>
  <si>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</si>
  <si>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</si>
  <si>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</si>
  <si>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</si>
  <si>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</si>
  <si>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</si>
  <si>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</si>
  <si>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</si>
  <si>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</si>
  <si>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</si>
  <si>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</si>
  <si>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</si>
  <si>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</si>
  <si>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</si>
  <si>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</si>
  <si>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</si>
  <si>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</si>
  <si>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</si>
  <si>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</si>
  <si>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</si>
  <si>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</si>
  <si>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</si>
  <si>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</si>
  <si>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</si>
  <si>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</si>
  <si>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</si>
  <si>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</si>
  <si>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</si>
  <si>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</si>
  <si>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</si>
  <si>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</si>
  <si>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</si>
  <si>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</si>
  <si>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</si>
  <si>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</si>
  <si>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</si>
  <si>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</si>
  <si>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</si>
  <si>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</si>
  <si>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</si>
  <si>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</si>
  <si>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</si>
  <si>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</si>
  <si>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</si>
  <si>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</si>
  <si>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</si>
  <si>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</si>
  <si>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</si>
  <si>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</si>
  <si>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</si>
  <si>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</si>
  <si>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</si>
  <si>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</si>
  <si>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</si>
  <si>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</si>
  <si>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</si>
  <si>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</si>
  <si>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</si>
  <si>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</si>
  <si>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</si>
  <si>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</si>
  <si>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</si>
  <si>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</si>
  <si>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</si>
  <si>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</si>
  <si>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</si>
  <si>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</si>
  <si>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</si>
  <si>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</si>
  <si>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</si>
  <si>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</si>
  <si>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</si>
  <si>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</si>
  <si>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</si>
  <si>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</si>
  <si>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</si>
  <si>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</si>
  <si>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</si>
  <si>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</si>
  <si>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</si>
  <si>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</si>
  <si>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</si>
  <si>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</si>
  <si>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</si>
  <si>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</si>
  <si>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</si>
  <si>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</si>
  <si>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</si>
  <si>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</si>
  <si>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</si>
  <si>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</si>
  <si>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</si>
  <si>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</si>
  <si>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</si>
  <si>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</si>
  <si>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</si>
  <si>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</si>
  <si>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</si>
  <si>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</si>
  <si>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</si>
  <si>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</si>
  <si>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</si>
  <si>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</si>
  <si>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</si>
  <si>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</si>
  <si>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</si>
  <si>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</si>
  <si>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</si>
  <si>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</si>
  <si>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</si>
  <si>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</si>
  <si>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</si>
  <si>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</si>
  <si>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</si>
  <si>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</si>
  <si>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</si>
  <si>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</si>
  <si>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</si>
  <si>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</si>
  <si>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</si>
  <si>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</si>
  <si>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</si>
  <si>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</si>
  <si>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</si>
  <si>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</si>
  <si>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</si>
  <si>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</si>
  <si>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</si>
  <si>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</si>
  <si>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</si>
  <si>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</si>
  <si>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</si>
  <si>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</si>
  <si>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</si>
  <si>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</si>
  <si>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</si>
  <si>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</si>
  <si>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</si>
  <si>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</si>
  <si>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</si>
  <si>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</si>
  <si>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</si>
  <si>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</si>
  <si>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</si>
  <si>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</si>
  <si>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</si>
  <si>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</si>
  <si>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</si>
  <si>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</si>
  <si>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</si>
  <si>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</si>
  <si>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</si>
  <si>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</si>
  <si>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</si>
  <si>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</si>
  <si>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</si>
  <si>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</si>
  <si>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</si>
  <si>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</si>
  <si>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</si>
  <si>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</si>
  <si>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</si>
  <si>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</si>
  <si>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</si>
  <si>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</si>
  <si>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</si>
  <si>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</si>
  <si>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</si>
  <si>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</si>
  <si>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</si>
  <si>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</si>
  <si>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</si>
  <si>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</si>
  <si>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</si>
  <si>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</si>
  <si>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</si>
  <si>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</si>
  <si>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</si>
  <si>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</si>
  <si>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</si>
  <si>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</si>
  <si>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</si>
  <si>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</si>
  <si>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</si>
  <si>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</si>
  <si>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</si>
  <si>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</si>
  <si>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</si>
  <si>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</si>
  <si>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</si>
  <si>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</si>
  <si>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</si>
  <si>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</si>
  <si>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</si>
  <si>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</si>
  <si>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</si>
  <si>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</si>
  <si>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</si>
  <si>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</si>
  <si>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</si>
  <si>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</si>
  <si>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</si>
  <si>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</si>
  <si>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</si>
  <si>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</si>
  <si>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</si>
  <si>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</si>
  <si>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</si>
  <si>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</si>
  <si>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</si>
  <si>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</si>
  <si>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</si>
  <si>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</si>
  <si>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</si>
  <si>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</si>
  <si>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</si>
  <si>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</si>
  <si>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</si>
  <si>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</si>
  <si>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</si>
  <si>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</si>
  <si>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</si>
  <si>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</si>
  <si>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</si>
  <si>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</si>
  <si>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</si>
  <si>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</si>
  <si>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</si>
  <si>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</si>
  <si>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</si>
  <si>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</si>
  <si>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</si>
  <si>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</si>
  <si>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</si>
  <si>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</si>
  <si>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</si>
  <si>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</si>
  <si>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</si>
  <si>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</si>
  <si>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</si>
  <si>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</si>
  <si>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</si>
  <si>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</si>
  <si>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</si>
  <si>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</si>
  <si>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</si>
  <si>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</si>
  <si>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</si>
  <si>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</si>
  <si>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</si>
  <si>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</si>
  <si>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</si>
  <si>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</si>
  <si>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</si>
  <si>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</si>
  <si>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</si>
  <si>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</si>
  <si>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</si>
  <si>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</si>
  <si>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</si>
  <si>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</si>
  <si>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</si>
  <si>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</si>
  <si>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</si>
  <si>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</si>
  <si>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</si>
  <si>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</si>
  <si>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</si>
  <si>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</si>
  <si>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</si>
  <si>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</si>
  <si>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</si>
  <si>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</si>
  <si>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</si>
  <si>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</si>
  <si>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</si>
  <si>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</si>
  <si>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</si>
  <si>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</si>
  <si>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</si>
  <si>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</si>
  <si>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</si>
  <si>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</si>
  <si>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</si>
  <si>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</si>
  <si>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</si>
  <si>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</si>
  <si>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</si>
  <si>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</si>
  <si>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</si>
  <si>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</si>
  <si>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</si>
  <si>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</si>
  <si>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</si>
  <si>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</si>
  <si>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</si>
  <si>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</si>
  <si>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</si>
  <si>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</si>
  <si>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</si>
  <si>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</si>
  <si>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</si>
  <si>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</si>
  <si>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</si>
  <si>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</si>
  <si>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</si>
  <si>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</si>
  <si>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</si>
  <si>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</si>
  <si>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</si>
  <si>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</si>
  <si>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</si>
  <si>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</si>
  <si>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</si>
  <si>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</si>
  <si>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</si>
  <si>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</si>
  <si>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</si>
  <si>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</si>
  <si>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</si>
  <si>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</si>
  <si>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</si>
  <si>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</si>
  <si>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</si>
  <si>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</si>
  <si>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</si>
  <si>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</si>
  <si>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</si>
  <si>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</si>
  <si>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</si>
  <si>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</si>
  <si>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</si>
  <si>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</si>
  <si>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</si>
  <si>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</si>
  <si>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</si>
  <si>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</si>
  <si>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</si>
  <si>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</si>
  <si>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</si>
  <si>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</si>
  <si>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</si>
  <si>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</si>
  <si>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</si>
  <si>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</si>
  <si>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</si>
  <si>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</si>
  <si>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</si>
  <si>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</si>
  <si>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</si>
  <si>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</si>
  <si>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</si>
  <si>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</si>
  <si>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</si>
  <si>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</si>
  <si>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</si>
  <si>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</si>
  <si>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</si>
  <si>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</si>
  <si>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</si>
  <si>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</si>
  <si>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</si>
  <si>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</si>
  <si>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</si>
  <si>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</si>
  <si>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</si>
  <si>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</si>
  <si>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</si>
  <si>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</si>
  <si>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</si>
  <si>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</si>
  <si>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</si>
  <si>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</si>
  <si>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</si>
  <si>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</si>
  <si>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</si>
  <si>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</si>
  <si>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</si>
  <si>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</si>
  <si>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</si>
  <si>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</si>
  <si>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</si>
  <si>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</si>
  <si>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</si>
  <si>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</si>
  <si>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</si>
  <si>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</si>
  <si>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</si>
  <si>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</si>
  <si>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</si>
  <si>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</si>
  <si>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</si>
  <si>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</si>
  <si>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</si>
  <si>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</si>
  <si>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</si>
  <si>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</si>
  <si>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</si>
  <si>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</si>
  <si>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</si>
  <si>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</si>
  <si>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</si>
  <si>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</si>
  <si>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</si>
  <si>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</si>
  <si>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</si>
  <si>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</si>
  <si>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</si>
  <si>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</si>
  <si>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</si>
  <si>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</si>
  <si>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</si>
  <si>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</si>
  <si>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</si>
  <si>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</si>
  <si>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</si>
  <si>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</si>
  <si>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</si>
  <si>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</si>
  <si>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</si>
  <si>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</si>
  <si>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</si>
  <si>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</si>
  <si>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</si>
  <si>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</si>
  <si>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</si>
  <si>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</si>
  <si>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</si>
  <si>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</si>
  <si>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</si>
  <si>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</si>
  <si>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</si>
  <si>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</si>
  <si>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</si>
  <si>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</si>
  <si>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</si>
  <si>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</si>
  <si>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</si>
  <si>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</si>
  <si>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</si>
  <si>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</si>
  <si>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</si>
  <si>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</si>
  <si>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</si>
  <si>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</si>
  <si>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</si>
  <si>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</si>
  <si>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</si>
  <si>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</si>
  <si>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</si>
  <si>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</si>
  <si>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</si>
  <si>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</si>
  <si>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</si>
  <si>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</si>
  <si>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</si>
  <si>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</si>
  <si>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</si>
  <si>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</si>
  <si>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</si>
  <si>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</si>
  <si>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</si>
  <si>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</si>
  <si>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</si>
  <si>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</si>
  <si>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</si>
  <si>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</si>
  <si>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</si>
  <si>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</si>
  <si>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</si>
  <si>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</si>
  <si>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</si>
  <si>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</si>
  <si>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</si>
  <si>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</si>
  <si>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</si>
  <si>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</si>
  <si>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</si>
  <si>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</si>
  <si>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</si>
  <si>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</si>
  <si>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</si>
  <si>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</si>
  <si>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</si>
  <si>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</si>
  <si>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</si>
  <si>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</si>
  <si>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</si>
  <si>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</si>
  <si>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</si>
  <si>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</si>
  <si>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</si>
  <si>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</si>
  <si>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</si>
  <si>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</si>
  <si>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</si>
  <si>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</si>
  <si>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</si>
  <si>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</si>
  <si>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</si>
  <si>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</si>
  <si>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</si>
  <si>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</si>
  <si>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</si>
  <si>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</si>
  <si>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</si>
  <si>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</si>
  <si>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</si>
  <si>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</si>
  <si>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</si>
  <si>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</si>
  <si>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</si>
  <si>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</si>
  <si>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</si>
  <si>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</si>
  <si>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</si>
  <si>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</si>
  <si>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</si>
  <si>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</si>
  <si>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</si>
  <si>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</si>
  <si>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</si>
  <si>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</si>
  <si>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</si>
  <si>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</si>
  <si>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</si>
  <si>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</si>
  <si>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</si>
  <si>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</si>
  <si>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</si>
  <si>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</si>
  <si>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</si>
  <si>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</si>
  <si>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</si>
  <si>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</si>
  <si>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</si>
  <si>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</si>
  <si>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</si>
  <si>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</si>
  <si>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</si>
  <si>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</si>
  <si>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</si>
  <si>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</si>
  <si>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</si>
  <si>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</si>
  <si>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</si>
  <si>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</si>
  <si>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</si>
  <si>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</si>
  <si>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</si>
  <si>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</si>
  <si>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</si>
  <si>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</si>
  <si>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</si>
  <si>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</si>
  <si>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</si>
  <si>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</si>
  <si>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</si>
  <si>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</si>
  <si>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</si>
  <si>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</si>
  <si>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</si>
  <si>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</si>
  <si>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</si>
  <si>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</si>
  <si>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</si>
  <si>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</si>
  <si>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</si>
  <si>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</si>
  <si>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</si>
  <si>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</si>
  <si>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</si>
  <si>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</si>
  <si>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</si>
  <si>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</si>
  <si>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</si>
  <si>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</si>
  <si>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</si>
  <si>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</si>
  <si>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</si>
  <si>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</si>
  <si>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</si>
  <si>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</si>
  <si>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</si>
  <si>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</si>
  <si>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</si>
  <si>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</si>
  <si>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</si>
  <si>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</si>
  <si>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</si>
  <si>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</si>
  <si>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</si>
  <si>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</si>
  <si>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</si>
  <si>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</si>
  <si>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</si>
  <si>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</si>
  <si>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</si>
  <si>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</si>
  <si>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</si>
  <si>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</si>
  <si>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</si>
  <si>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</si>
  <si>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</si>
  <si>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</si>
  <si>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</si>
  <si>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</si>
  <si>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</si>
  <si>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</si>
  <si>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</si>
  <si>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</si>
  <si>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</si>
  <si>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</si>
  <si>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</si>
  <si>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</si>
  <si>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</si>
  <si>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</si>
  <si>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</si>
  <si>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</si>
  <si>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</si>
  <si>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</si>
  <si>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</si>
  <si>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</si>
  <si>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</si>
  <si>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</si>
  <si>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</si>
  <si>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</si>
  <si>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</si>
  <si>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</si>
  <si>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</si>
  <si>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</si>
  <si>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</si>
  <si>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</si>
  <si>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</si>
  <si>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</si>
  <si>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</si>
  <si>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</si>
  <si>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</si>
  <si>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</si>
  <si>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</si>
  <si>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</si>
  <si>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</si>
  <si>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</si>
  <si>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</si>
  <si>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</si>
  <si>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</si>
  <si>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</si>
  <si>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</si>
  <si>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</si>
  <si>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</si>
  <si>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</si>
  <si>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</si>
  <si>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</si>
  <si>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</si>
  <si>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</si>
  <si>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</si>
  <si>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</si>
  <si>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</si>
  <si>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</si>
  <si>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</si>
  <si>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</si>
  <si>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</si>
  <si>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</si>
  <si>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</si>
  <si>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</si>
  <si>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</si>
  <si>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</si>
  <si>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</si>
  <si>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</si>
  <si>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</si>
  <si>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</si>
  <si>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</si>
  <si>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</si>
  <si>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</si>
  <si>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</si>
  <si>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</si>
  <si>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</si>
  <si>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</si>
  <si>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</si>
  <si>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</si>
  <si>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</si>
  <si>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</si>
  <si>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</si>
  <si>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</si>
  <si>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</si>
  <si>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</si>
  <si>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</si>
  <si>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</si>
  <si>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</si>
  <si>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</si>
  <si>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</si>
  <si>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</si>
  <si>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</si>
  <si>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</si>
  <si>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</si>
  <si>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</si>
  <si>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</si>
  <si>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</si>
  <si>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</si>
  <si>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</si>
  <si>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</si>
  <si>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</si>
  <si>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</si>
  <si>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</si>
  <si>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</si>
  <si>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</si>
  <si>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</si>
  <si>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</si>
  <si>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</si>
  <si>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</si>
  <si>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</si>
  <si>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</si>
  <si>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</si>
  <si>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</si>
  <si>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</si>
  <si>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</si>
  <si>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</si>
  <si>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</si>
  <si>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</si>
  <si>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</si>
  <si>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</si>
  <si>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</si>
  <si>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</si>
  <si>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</si>
  <si>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</si>
  <si>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</si>
  <si>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</si>
  <si>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</si>
  <si>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</si>
  <si>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</si>
  <si>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</si>
  <si>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</si>
  <si>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</si>
  <si>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</si>
  <si>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</si>
  <si>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</si>
  <si>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</si>
  <si>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</si>
  <si>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</si>
  <si>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</si>
  <si>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</si>
  <si>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</si>
  <si>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</si>
  <si>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</si>
  <si>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</si>
  <si>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</si>
  <si>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</si>
  <si>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</si>
  <si>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</si>
  <si>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</si>
  <si>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</si>
  <si>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</si>
  <si>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</si>
  <si>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</si>
  <si>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</si>
  <si>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</si>
  <si>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</si>
  <si>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</si>
  <si>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</si>
  <si>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</si>
  <si>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</si>
  <si>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</si>
  <si>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</si>
  <si>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</si>
  <si>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</si>
  <si>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</si>
  <si>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</si>
  <si>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</si>
  <si>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</si>
  <si>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</si>
  <si>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</si>
  <si>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</si>
  <si>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</si>
  <si>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</si>
  <si>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</si>
  <si>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</si>
  <si>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</si>
  <si>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</si>
  <si>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</si>
  <si>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</si>
  <si>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</si>
  <si>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</si>
  <si>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</si>
  <si>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</si>
  <si>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</si>
  <si>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</si>
  <si>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</si>
  <si>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</si>
  <si>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</si>
  <si>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</si>
  <si>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</si>
  <si>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</si>
  <si>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</si>
  <si>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</si>
  <si>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</si>
  <si>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</si>
  <si>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</si>
  <si>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</si>
  <si>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</si>
  <si>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</si>
  <si>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</si>
  <si>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</si>
  <si>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</si>
  <si>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</si>
  <si>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</si>
  <si>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</si>
  <si>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</si>
  <si>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</si>
  <si>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</si>
  <si>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</si>
  <si>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</si>
  <si>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</si>
  <si>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</si>
  <si>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</si>
  <si>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</si>
  <si>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</si>
  <si>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</si>
  <si>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</si>
  <si>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</si>
  <si>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</si>
  <si>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</si>
  <si>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</si>
  <si>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</si>
  <si>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</si>
  <si>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</si>
  <si>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</si>
  <si>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</si>
  <si>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</si>
  <si>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</si>
  <si>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</si>
  <si>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</si>
  <si>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</si>
  <si>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</si>
  <si>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</si>
  <si>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</si>
  <si>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</si>
  <si>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</si>
  <si>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</si>
  <si>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</si>
  <si>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</si>
  <si>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</si>
  <si>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</si>
  <si>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</si>
  <si>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</si>
  <si>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</si>
  <si>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</si>
  <si>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</si>
  <si>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</si>
  <si>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</si>
  <si>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</si>
  <si>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</si>
  <si>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</si>
  <si>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</si>
  <si>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</si>
  <si>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</si>
  <si>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</si>
  <si>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</si>
  <si>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</si>
  <si>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</si>
  <si>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</si>
  <si>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</si>
  <si>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</si>
  <si>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</si>
  <si>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</si>
  <si>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</si>
  <si>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</si>
  <si>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</si>
  <si>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</si>
  <si>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</si>
  <si>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</si>
  <si>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</si>
  <si>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</si>
  <si>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</si>
  <si>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</si>
  <si>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</si>
  <si>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</si>
  <si>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</si>
  <si>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</si>
  <si>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</si>
  <si>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</si>
  <si>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</si>
  <si>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</si>
  <si>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</si>
  <si>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</si>
  <si>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</si>
  <si>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</si>
  <si>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</si>
  <si>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</si>
  <si>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</si>
  <si>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</si>
  <si>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</si>
  <si>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</si>
  <si>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</si>
  <si>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</si>
  <si>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</si>
  <si>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</si>
  <si>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</si>
  <si>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</si>
  <si>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</si>
  <si>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</si>
  <si>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</si>
  <si>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</si>
  <si>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</si>
  <si>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</si>
  <si>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</si>
  <si>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</si>
  <si>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</si>
  <si>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</si>
  <si>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</si>
  <si>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</si>
  <si>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</si>
  <si>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</si>
  <si>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</si>
  <si>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</si>
  <si>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</si>
  <si>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</si>
  <si>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</si>
  <si>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</si>
  <si>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</si>
  <si>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</si>
  <si>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</si>
  <si>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</si>
  <si>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</si>
  <si>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</si>
  <si>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</si>
  <si>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</si>
  <si>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</si>
  <si>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</si>
  <si>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</si>
  <si>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</si>
  <si>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</si>
  <si>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</si>
  <si>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</si>
  <si>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</si>
  <si>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</si>
  <si>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</si>
  <si>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</si>
  <si>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</si>
  <si>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</si>
  <si>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</si>
  <si>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</si>
  <si>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</si>
  <si>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</si>
  <si>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</si>
  <si>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</si>
  <si>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</si>
  <si>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</si>
  <si>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</si>
  <si>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</si>
  <si>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</si>
  <si>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</si>
  <si>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</si>
  <si>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</si>
  <si>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</si>
  <si>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</si>
  <si>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</si>
  <si>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</si>
  <si>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</si>
  <si>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</si>
  <si>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</si>
  <si>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</si>
  <si>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</si>
  <si>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</si>
  <si>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</si>
  <si>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</si>
  <si>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</si>
  <si>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</si>
  <si>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</si>
  <si>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</si>
  <si>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</si>
  <si>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</si>
  <si>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</si>
  <si>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</si>
  <si>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</si>
  <si>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</si>
  <si>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</si>
  <si>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</si>
  <si>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</si>
  <si>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</si>
  <si>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</si>
  <si>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</si>
  <si>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</si>
  <si>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</si>
  <si>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</si>
  <si>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</si>
  <si>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</si>
  <si>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</si>
  <si>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</si>
  <si>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</si>
  <si>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</si>
  <si>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</si>
  <si>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</si>
  <si>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</si>
  <si>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</si>
  <si>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</si>
  <si>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</si>
  <si>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</si>
  <si>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</si>
  <si>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</si>
  <si>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</si>
  <si>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</si>
  <si>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</si>
  <si>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</si>
  <si>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</si>
  <si>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</si>
  <si>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</si>
  <si>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</si>
  <si>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</si>
  <si>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</si>
  <si>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</si>
  <si>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</si>
  <si>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</si>
  <si>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</si>
  <si>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</si>
  <si>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</si>
  <si>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</si>
  <si>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</si>
  <si>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</si>
  <si>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</si>
  <si>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</si>
  <si>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</si>
  <si>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</si>
  <si>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</si>
  <si>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</si>
  <si>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</si>
  <si>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</si>
  <si>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</si>
  <si>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</si>
  <si>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</si>
  <si>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</si>
  <si>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</si>
  <si>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</si>
  <si>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</si>
  <si>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</si>
  <si>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</si>
  <si>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</si>
  <si>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</si>
  <si>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</si>
  <si>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</si>
  <si>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</si>
  <si>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</si>
  <si>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</si>
  <si>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</si>
  <si>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</si>
  <si>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</si>
  <si>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</si>
  <si>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</si>
  <si>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</si>
  <si>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</si>
  <si>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</si>
  <si>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</si>
  <si>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</si>
  <si>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</si>
  <si>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</si>
  <si>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</si>
  <si>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</si>
  <si>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</si>
  <si>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</si>
  <si>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</si>
  <si>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</si>
  <si>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</si>
  <si>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</si>
  <si>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</si>
  <si>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</si>
  <si>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</si>
  <si>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</si>
  <si>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</si>
  <si>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</si>
  <si>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</si>
  <si>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</si>
  <si>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</si>
  <si>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</si>
  <si>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</si>
  <si>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</si>
  <si>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</si>
  <si>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</si>
  <si>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</si>
  <si>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</si>
  <si>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</si>
  <si>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</si>
  <si>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</si>
  <si>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</si>
  <si>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</si>
  <si>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</si>
  <si>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</si>
  <si>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</si>
  <si>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</si>
  <si>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</si>
  <si>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</si>
  <si>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</si>
  <si>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</si>
  <si>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</si>
  <si>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</si>
  <si>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</si>
  <si>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</si>
  <si>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</si>
  <si>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</si>
  <si>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</si>
  <si>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</si>
  <si>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</si>
  <si>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</si>
  <si>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</si>
  <si>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</si>
  <si>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</si>
  <si>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</si>
  <si>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</si>
  <si>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</si>
  <si>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</si>
  <si>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</si>
  <si>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</si>
  <si>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</si>
  <si>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</si>
  <si>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</si>
  <si>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</si>
  <si>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</si>
  <si>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</si>
  <si>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</si>
  <si>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</si>
  <si>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</si>
  <si>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</si>
  <si>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</si>
  <si>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</si>
  <si>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</si>
  <si>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</si>
  <si>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</si>
  <si>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</si>
  <si>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</si>
  <si>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</si>
  <si>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</si>
  <si>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</si>
  <si>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</si>
  <si>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</si>
  <si>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</si>
  <si>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</si>
  <si>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</si>
  <si>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</si>
  <si>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</si>
  <si>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</si>
  <si>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</si>
  <si>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</si>
  <si>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</si>
  <si>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</si>
  <si>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</si>
  <si>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</si>
  <si>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</si>
  <si>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</si>
  <si>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</si>
  <si>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</si>
  <si>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</si>
  <si>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</si>
  <si>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</si>
  <si>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</si>
  <si>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</si>
  <si>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</si>
  <si>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</si>
  <si>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</si>
  <si>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</si>
  <si>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</si>
  <si>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</si>
  <si>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</si>
  <si>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</si>
  <si>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</si>
  <si>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</si>
  <si>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</si>
  <si>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</si>
  <si>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</si>
  <si>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</si>
  <si>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</si>
  <si>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</si>
  <si>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</si>
  <si>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</si>
  <si>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</si>
  <si>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</si>
  <si>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</si>
  <si>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</si>
  <si>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</si>
  <si>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</si>
  <si>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</si>
  <si>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</si>
  <si>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</si>
  <si>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</si>
  <si>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</si>
  <si>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</si>
  <si>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</si>
  <si>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</si>
  <si>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</si>
  <si>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</si>
  <si>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</si>
  <si>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</si>
  <si>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</si>
  <si>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</si>
  <si>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</si>
  <si>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</si>
  <si>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</si>
  <si>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</si>
  <si>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</si>
  <si>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</si>
  <si>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</si>
  <si>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</si>
  <si>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</si>
  <si>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</si>
  <si>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</si>
  <si>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</si>
  <si>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</si>
  <si>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</si>
  <si>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</si>
  <si>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</si>
  <si>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</si>
  <si>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</si>
  <si>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</si>
  <si>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</si>
  <si>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</si>
  <si>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</si>
  <si>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</si>
  <si>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</si>
  <si>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</si>
  <si>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</si>
  <si>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</si>
  <si>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</si>
  <si>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</si>
  <si>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</si>
  <si>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</si>
  <si>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</si>
  <si>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</si>
  <si>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</si>
  <si>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</si>
  <si>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</si>
  <si>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</si>
  <si>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</si>
  <si>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</si>
  <si>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</si>
  <si>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</si>
  <si>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</si>
  <si>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</si>
  <si>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</si>
  <si>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</si>
  <si>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</si>
  <si>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</si>
  <si>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</si>
  <si>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</si>
  <si>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</si>
  <si>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</si>
  <si>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</si>
  <si>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</si>
  <si>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</si>
  <si>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</si>
  <si>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</si>
  <si>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</si>
  <si>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</si>
  <si>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</si>
  <si>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</si>
  <si>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</si>
  <si>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</si>
  <si>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</si>
  <si>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</si>
  <si>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</si>
  <si>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</si>
  <si>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</si>
  <si>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</si>
  <si>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</si>
  <si>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</si>
  <si>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</si>
  <si>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</si>
  <si>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</si>
  <si>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</si>
  <si>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</si>
  <si>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</si>
  <si>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</si>
  <si>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</si>
  <si>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</si>
  <si>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</si>
  <si>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</si>
  <si>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</si>
  <si>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</si>
  <si>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</si>
  <si>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</si>
  <si>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</si>
  <si>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</si>
  <si>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</si>
  <si>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</si>
  <si>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</si>
  <si>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</si>
  <si>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</si>
  <si>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</si>
  <si>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</si>
  <si>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</si>
  <si>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</si>
  <si>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</si>
  <si>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</si>
  <si>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</si>
  <si>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</si>
  <si>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</si>
  <si>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</si>
  <si>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</si>
  <si>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</si>
  <si>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</si>
  <si>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</si>
  <si>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</si>
  <si>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</si>
  <si>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</si>
  <si>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</si>
  <si>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</si>
  <si>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</si>
  <si>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</si>
  <si>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</si>
  <si>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</si>
  <si>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</si>
  <si>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</si>
  <si>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</si>
  <si>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</si>
  <si>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</si>
  <si>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</si>
  <si>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</si>
  <si>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</si>
  <si>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</si>
  <si>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</si>
  <si>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</si>
  <si>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</si>
  <si>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</si>
  <si>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</si>
  <si>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</si>
  <si>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</si>
  <si>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</si>
  <si>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</si>
  <si>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</si>
  <si>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</si>
  <si>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</si>
  <si>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</si>
  <si>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</si>
  <si>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</si>
  <si>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</si>
  <si>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</si>
  <si>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</si>
  <si>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</si>
  <si>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</si>
  <si>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</si>
  <si>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</si>
  <si>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</si>
  <si>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</si>
  <si>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</si>
  <si>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</si>
  <si>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</si>
  <si>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</si>
  <si>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</si>
  <si>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</si>
  <si>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</si>
  <si>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</si>
  <si>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</si>
  <si>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</si>
  <si>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</si>
  <si>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</si>
  <si>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</si>
  <si>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</si>
  <si>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</si>
  <si>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</si>
  <si>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</si>
  <si>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</si>
  <si>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</si>
  <si>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</si>
  <si>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</si>
  <si>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</si>
  <si>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</si>
  <si>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</si>
  <si>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</si>
  <si>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</si>
  <si>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</si>
  <si>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</si>
  <si>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</si>
  <si>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</si>
  <si>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</si>
  <si>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</si>
  <si>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</si>
  <si>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</si>
  <si>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</si>
  <si>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</si>
  <si>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</si>
  <si>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</si>
  <si>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</si>
  <si>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</si>
  <si>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</si>
  <si>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</si>
  <si>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</si>
  <si>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</si>
  <si>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</si>
  <si>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</si>
  <si>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</si>
  <si>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</si>
  <si>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</si>
  <si>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</si>
  <si>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</si>
  <si>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</si>
  <si>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</si>
  <si>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</si>
  <si>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</si>
  <si>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</si>
  <si>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</si>
  <si>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</si>
  <si>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</si>
  <si>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</si>
  <si>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</si>
  <si>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</si>
  <si>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</si>
  <si>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</si>
  <si>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</si>
  <si>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</si>
  <si>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</si>
  <si>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</si>
  <si>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</si>
  <si>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</si>
  <si>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</si>
  <si>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</si>
  <si>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</si>
  <si>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</si>
  <si>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</si>
  <si>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</si>
  <si>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</si>
  <si>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</si>
  <si>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</si>
  <si>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</si>
  <si>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</si>
  <si>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</si>
  <si>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</si>
  <si>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</si>
  <si>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</si>
  <si>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</si>
  <si>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</si>
  <si>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</si>
  <si>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</si>
  <si>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</si>
  <si>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</si>
  <si>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</si>
  <si>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</si>
  <si>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</si>
  <si>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</si>
  <si>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</si>
  <si>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</si>
  <si>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</si>
  <si>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</si>
  <si>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</si>
  <si>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</si>
  <si>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</si>
  <si>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</si>
  <si>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</si>
  <si>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</si>
  <si>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</si>
  <si>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</si>
  <si>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</si>
  <si>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</si>
  <si>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</si>
  <si>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</si>
  <si>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</si>
  <si>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</si>
  <si>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</si>
  <si>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</si>
  <si>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</si>
  <si>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</si>
  <si>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</si>
  <si>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</si>
  <si>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</si>
  <si>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</si>
  <si>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</si>
  <si>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</si>
  <si>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</si>
  <si>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</si>
  <si>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</si>
  <si>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</si>
  <si>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</si>
  <si>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</si>
  <si>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</si>
  <si>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</si>
  <si>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</si>
  <si>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</si>
  <si>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</si>
  <si>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</si>
  <si>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</si>
  <si>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</si>
  <si>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</si>
  <si>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</si>
  <si>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</si>
  <si>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</si>
  <si>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</si>
  <si>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</si>
  <si>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</si>
  <si>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</si>
  <si>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</si>
  <si>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</si>
  <si>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</si>
  <si>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</si>
  <si>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</si>
  <si>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</si>
  <si>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</si>
  <si>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</si>
  <si>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</si>
  <si>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</si>
  <si>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</si>
  <si>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</si>
  <si>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</si>
  <si>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</si>
  <si>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</si>
  <si>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</si>
  <si>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</si>
  <si>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</si>
  <si>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</si>
  <si>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</si>
  <si>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</si>
  <si>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</si>
  <si>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</si>
  <si>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</si>
  <si>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</si>
  <si>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</si>
  <si>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</si>
  <si>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</si>
  <si>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</si>
  <si>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</si>
  <si>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</si>
  <si>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</si>
  <si>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</si>
  <si>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</si>
  <si>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</si>
  <si>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</si>
  <si>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</si>
  <si>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</si>
  <si>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</si>
  <si>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</si>
  <si>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</si>
  <si>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</si>
  <si>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</si>
  <si>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</si>
  <si>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</si>
  <si>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</si>
  <si>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</si>
  <si>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</si>
  <si>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</si>
  <si>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</si>
  <si>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</si>
  <si>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</si>
  <si>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</si>
  <si>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</si>
  <si>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</si>
  <si>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</si>
  <si>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</si>
  <si>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</si>
  <si>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</si>
  <si>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</si>
  <si>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</si>
  <si>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</si>
  <si>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</si>
  <si>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</si>
  <si>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</si>
  <si>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</si>
  <si>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</si>
  <si>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</si>
  <si>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</si>
  <si>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</si>
  <si>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</si>
  <si>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</si>
  <si>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</si>
  <si>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</si>
  <si>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</si>
  <si>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</si>
  <si>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</si>
  <si>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</si>
  <si>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</si>
  <si>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</si>
  <si>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</si>
  <si>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</si>
  <si>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</si>
  <si>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</si>
  <si>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</si>
  <si>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</si>
  <si>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</si>
  <si>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</si>
  <si>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</si>
  <si>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</si>
  <si>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</si>
  <si>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</si>
  <si>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</si>
  <si>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</si>
  <si>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</si>
  <si>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</si>
  <si>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</si>
  <si>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</si>
  <si>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</si>
  <si>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</si>
  <si>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</si>
  <si>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</si>
  <si>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</si>
  <si>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</si>
  <si>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</si>
  <si>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</si>
  <si>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</si>
  <si>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</si>
  <si>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</si>
  <si>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</si>
  <si>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</si>
  <si>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</si>
  <si>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</si>
  <si>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</si>
  <si>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</si>
  <si>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</si>
  <si>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</si>
  <si>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</si>
  <si>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</si>
  <si>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</si>
  <si>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</si>
  <si>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</si>
  <si>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</si>
  <si>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</si>
  <si>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</si>
  <si>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</si>
  <si>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</si>
  <si>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</si>
  <si>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</si>
  <si>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</si>
  <si>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</si>
  <si>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</si>
  <si>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</si>
  <si>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</si>
  <si>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</si>
  <si>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</si>
  <si>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</si>
  <si>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</si>
  <si>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</si>
  <si>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</si>
  <si>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</si>
  <si>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</si>
  <si>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</si>
  <si>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</si>
  <si>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</si>
  <si>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</si>
  <si>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</si>
  <si>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</si>
  <si>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</si>
  <si>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</si>
  <si>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</si>
  <si>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</si>
  <si>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</si>
  <si>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</si>
  <si>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</si>
  <si>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</si>
  <si>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</si>
  <si>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</si>
  <si>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</si>
  <si>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</si>
  <si>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</si>
  <si>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</si>
  <si>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</si>
  <si>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</si>
  <si>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</si>
  <si>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</si>
  <si>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</si>
  <si>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</si>
  <si>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</si>
  <si>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</si>
  <si>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</si>
  <si>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</si>
  <si>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</si>
  <si>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</si>
  <si>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</si>
  <si>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</si>
  <si>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</si>
  <si>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</si>
  <si>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</si>
  <si>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</si>
  <si>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</si>
  <si>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</si>
  <si>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</si>
  <si>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</si>
  <si>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</si>
  <si>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</si>
  <si>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</si>
  <si>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</si>
  <si>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</si>
  <si>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</si>
  <si>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</si>
  <si>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</si>
  <si>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</si>
  <si>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</si>
  <si>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</si>
  <si>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</si>
  <si>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</si>
  <si>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</si>
  <si>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</si>
  <si>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</si>
  <si>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</si>
  <si>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</si>
  <si>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</si>
  <si>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</si>
  <si>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</si>
  <si>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</si>
  <si>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</si>
  <si>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</si>
  <si>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</si>
  <si>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</si>
  <si>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</si>
  <si>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</si>
  <si>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</si>
  <si>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</si>
  <si>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</si>
  <si>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</si>
  <si>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</si>
  <si>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</si>
  <si>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</si>
  <si>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</si>
  <si>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</si>
  <si>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</si>
  <si>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</si>
  <si>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</si>
  <si>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</si>
  <si>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</si>
  <si>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</si>
  <si>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</si>
  <si>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</si>
  <si>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</si>
  <si>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</si>
  <si>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</si>
  <si>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</si>
  <si>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</si>
  <si>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</si>
  <si>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</si>
  <si>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</si>
  <si>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</si>
  <si>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</si>
  <si>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</si>
  <si>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</si>
  <si>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</si>
  <si>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</si>
  <si>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</si>
  <si>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</si>
  <si>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</si>
  <si>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</si>
  <si>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</si>
  <si>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</si>
  <si>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</si>
  <si>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</si>
  <si>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</si>
  <si>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</si>
  <si>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</si>
  <si>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</si>
  <si>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</si>
  <si>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</si>
  <si>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</si>
  <si>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</si>
  <si>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</si>
  <si>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</si>
  <si>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</si>
  <si>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</si>
  <si>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</si>
  <si>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</si>
  <si>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</si>
  <si>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</si>
  <si>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</si>
  <si>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</si>
  <si>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</si>
  <si>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</si>
  <si>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</si>
  <si>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</si>
  <si>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</si>
  <si>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</si>
  <si>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</si>
  <si>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</si>
  <si>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</si>
  <si>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</si>
  <si>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</si>
  <si>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</si>
  <si>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</si>
  <si>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</si>
  <si>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</si>
  <si>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</si>
  <si>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</si>
  <si>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</si>
  <si>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</si>
  <si>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</si>
  <si>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</si>
  <si>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</si>
  <si>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</si>
  <si>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</si>
  <si>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</si>
  <si>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</si>
  <si>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</si>
  <si>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</si>
  <si>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</si>
  <si>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</si>
  <si>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</si>
  <si>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</si>
  <si>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</si>
  <si>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</si>
  <si>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</si>
  <si>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</si>
  <si>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</si>
  <si>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</si>
  <si>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</si>
  <si>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</si>
  <si>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</si>
  <si>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</si>
  <si>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</si>
  <si>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</si>
  <si>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</si>
  <si>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</si>
  <si>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</si>
  <si>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</si>
  <si>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</si>
  <si>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</si>
  <si>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</si>
  <si>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</si>
  <si>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</si>
  <si>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</si>
  <si>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</si>
  <si>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</si>
  <si>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</si>
  <si>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</si>
  <si>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</si>
  <si>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</si>
  <si>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</si>
  <si>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</si>
  <si>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</si>
  <si>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</si>
  <si>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</si>
  <si>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</si>
  <si>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</si>
  <si>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</si>
  <si>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</si>
  <si>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</si>
  <si>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</si>
  <si>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</si>
  <si>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</si>
  <si>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</si>
  <si>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</si>
  <si>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</si>
  <si>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</si>
  <si>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</si>
  <si>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</si>
  <si>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</si>
  <si>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</si>
  <si>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</si>
  <si>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</si>
  <si>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</si>
  <si>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</si>
  <si>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</si>
  <si>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</si>
  <si>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</si>
  <si>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</si>
  <si>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</si>
  <si>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</si>
  <si>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</si>
  <si>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</si>
  <si>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</si>
  <si>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</si>
  <si>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</si>
  <si>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</si>
  <si>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</si>
  <si>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</si>
  <si>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</si>
  <si>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</si>
  <si>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</si>
  <si>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</si>
  <si>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</si>
  <si>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</si>
  <si>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</si>
  <si>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</si>
  <si>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</si>
  <si>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</si>
  <si>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</si>
  <si>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</si>
  <si>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</si>
  <si>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</si>
  <si>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</si>
  <si>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</si>
  <si>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</si>
  <si>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</si>
  <si>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</si>
  <si>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</si>
  <si>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</si>
  <si>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</si>
  <si>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</si>
  <si>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</si>
  <si>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</si>
  <si>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</si>
  <si>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</si>
  <si>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</si>
  <si>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</si>
  <si>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</si>
  <si>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</si>
  <si>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</si>
  <si>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</si>
  <si>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</si>
  <si>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</si>
  <si>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</si>
  <si>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</si>
  <si>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</si>
  <si>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</si>
  <si>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</si>
  <si>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</si>
  <si>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</si>
  <si>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</si>
  <si>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</si>
  <si>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</si>
  <si>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</si>
  <si>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</si>
  <si>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</si>
  <si>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</si>
  <si>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</si>
  <si>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</si>
  <si>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</si>
  <si>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</si>
  <si>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</si>
  <si>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</si>
  <si>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</si>
  <si>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</si>
  <si>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</si>
  <si>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</si>
  <si>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</si>
  <si>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</si>
  <si>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</si>
  <si>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</si>
  <si>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</si>
  <si>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</si>
  <si>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</si>
  <si>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</si>
  <si>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</si>
  <si>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</si>
  <si>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</si>
  <si>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</si>
  <si>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</si>
  <si>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</si>
  <si>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</si>
  <si>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</si>
  <si>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</si>
  <si>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</si>
  <si>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</si>
  <si>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</si>
  <si>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</si>
  <si>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</si>
  <si>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</si>
  <si>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</si>
  <si>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</si>
  <si>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</si>
  <si>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</si>
  <si>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</si>
  <si>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</si>
  <si>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</si>
  <si>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</si>
  <si>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</si>
  <si>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</si>
  <si>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</si>
  <si>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</si>
  <si>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</si>
  <si>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</si>
  <si>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</si>
  <si>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</si>
  <si>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</si>
  <si>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</si>
  <si>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</si>
  <si>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</si>
  <si>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</si>
  <si>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</si>
  <si>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</si>
  <si>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</si>
  <si>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</si>
  <si>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</si>
  <si>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</si>
  <si>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</si>
  <si>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</si>
  <si>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</si>
  <si>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</si>
  <si>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</si>
  <si>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</si>
  <si>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</si>
  <si>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</si>
  <si>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</si>
  <si>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</si>
  <si>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</si>
  <si>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</si>
  <si>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</si>
  <si>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</si>
  <si>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</si>
  <si>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</si>
  <si>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</si>
  <si>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</si>
  <si>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</si>
  <si>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</si>
  <si>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</si>
  <si>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</si>
  <si>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</si>
  <si>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</si>
  <si>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</si>
  <si>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</si>
  <si>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</si>
  <si>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</si>
  <si>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</si>
  <si>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</si>
  <si>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</si>
  <si>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</si>
  <si>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</si>
  <si>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</si>
  <si>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</si>
  <si>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</si>
  <si>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</si>
  <si>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</si>
  <si>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</si>
  <si>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</si>
  <si>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</si>
  <si>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</si>
  <si>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</si>
  <si>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</si>
  <si>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</si>
  <si>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</si>
  <si>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</si>
  <si>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</si>
  <si>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</si>
  <si>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</si>
  <si>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</si>
  <si>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</si>
  <si>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</si>
  <si>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</si>
  <si>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</si>
  <si>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</si>
  <si>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</si>
  <si>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</si>
  <si>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</si>
  <si>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</si>
  <si>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</si>
  <si>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</si>
  <si>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</si>
  <si>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</si>
  <si>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</si>
  <si>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</si>
  <si>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</si>
  <si>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</si>
  <si>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</si>
  <si>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</si>
  <si>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</si>
  <si>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</si>
  <si>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</si>
  <si>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</si>
  <si>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</si>
  <si>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</si>
  <si>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</si>
  <si>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</si>
  <si>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</si>
  <si>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</si>
  <si>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</si>
  <si>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</si>
  <si>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</si>
  <si>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</si>
  <si>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</si>
  <si>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</si>
  <si>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</si>
  <si>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</si>
  <si>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</si>
  <si>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</si>
  <si>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</si>
  <si>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</si>
  <si>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</si>
  <si>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</si>
  <si>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</si>
  <si>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</si>
  <si>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</si>
  <si>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</si>
  <si>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</si>
  <si>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</si>
  <si>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</si>
  <si>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</si>
  <si>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</si>
  <si>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</si>
  <si>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</si>
  <si>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</si>
  <si>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</si>
  <si>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</si>
  <si>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</si>
  <si>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</si>
  <si>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</si>
  <si>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</si>
  <si>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</si>
  <si>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</si>
  <si>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</si>
  <si>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</si>
  <si>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</si>
  <si>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</si>
  <si>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</si>
  <si>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</si>
  <si>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</si>
  <si>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</si>
  <si>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</si>
  <si>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</si>
  <si>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</si>
  <si>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</si>
  <si>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</si>
  <si>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</si>
  <si>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</si>
  <si>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</si>
  <si>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</si>
  <si>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</si>
  <si>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</si>
  <si>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</si>
  <si>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</si>
  <si>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</si>
  <si>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</si>
  <si>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</si>
  <si>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</si>
  <si>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</si>
  <si>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</si>
  <si>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</si>
  <si>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</si>
  <si>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</si>
  <si>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</si>
  <si>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</si>
  <si>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</si>
  <si>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</si>
  <si>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</si>
  <si>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</si>
  <si>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</si>
  <si>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</si>
  <si>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</si>
  <si>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</si>
  <si>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</si>
  <si>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</si>
  <si>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</si>
  <si>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</si>
  <si>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</si>
  <si>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</si>
  <si>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</si>
  <si>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</si>
  <si>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</si>
  <si>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</si>
  <si>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</si>
  <si>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</si>
  <si>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</si>
  <si>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</si>
  <si>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</si>
  <si>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</si>
  <si>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</si>
  <si>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</si>
  <si>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</si>
  <si>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</si>
  <si>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</si>
  <si>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</si>
  <si>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</si>
  <si>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</si>
  <si>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</si>
  <si>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</si>
  <si>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</si>
  <si>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</si>
  <si>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</si>
  <si>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</si>
  <si>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</si>
  <si>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</si>
  <si>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</si>
  <si>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</si>
  <si>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</si>
  <si>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</si>
  <si>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</si>
  <si>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</si>
  <si>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</si>
  <si>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</si>
  <si>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</si>
  <si>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</si>
  <si>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</si>
  <si>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</si>
  <si>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</si>
  <si>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</si>
  <si>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</si>
  <si>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</si>
  <si>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</si>
  <si>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</si>
  <si>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</si>
  <si>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</si>
  <si>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</si>
  <si>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</si>
  <si>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</si>
  <si>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</si>
  <si>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</si>
  <si>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</si>
  <si>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</si>
  <si>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</si>
  <si>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</si>
  <si>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</si>
  <si>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</si>
  <si>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</si>
  <si>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</si>
  <si>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</si>
  <si>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</si>
  <si>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</si>
  <si>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</si>
  <si>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</si>
  <si>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</si>
  <si>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</si>
  <si>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</si>
  <si>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</si>
  <si>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</si>
  <si>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</si>
  <si>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</si>
  <si>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</si>
  <si>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</si>
  <si>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</si>
  <si>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</si>
  <si>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</si>
  <si>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</si>
  <si>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</si>
  <si>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</si>
  <si>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</si>
  <si>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</si>
  <si>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</si>
  <si>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</si>
  <si>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</si>
  <si>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</si>
  <si>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</si>
  <si>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</si>
  <si>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</si>
  <si>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</si>
  <si>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</si>
  <si>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</si>
  <si>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</si>
  <si>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</si>
  <si>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</si>
  <si>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</si>
  <si>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</si>
  <si>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</si>
  <si>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</si>
  <si>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</si>
  <si>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</si>
  <si>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</si>
  <si>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</si>
  <si>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</si>
  <si>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</si>
  <si>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</si>
  <si>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</si>
  <si>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</si>
  <si>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</si>
  <si>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</si>
  <si>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</si>
  <si>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</si>
  <si>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</si>
  <si>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</si>
  <si>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</si>
  <si>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</si>
  <si>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</si>
  <si>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</si>
  <si>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</si>
  <si>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</si>
  <si>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</si>
  <si>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</si>
  <si>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</si>
  <si>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</si>
  <si>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</si>
  <si>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</si>
  <si>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</si>
  <si>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</si>
  <si>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</si>
  <si>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</si>
  <si>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</si>
  <si>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</si>
  <si>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</si>
  <si>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</si>
  <si>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</si>
  <si>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</si>
  <si>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</si>
  <si>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</si>
  <si>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</si>
  <si>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</si>
  <si>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</si>
  <si>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</si>
  <si>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</si>
  <si>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</si>
  <si>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</si>
  <si>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</si>
  <si>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</si>
  <si>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</si>
  <si>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</si>
  <si>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</si>
  <si>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</si>
  <si>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</si>
  <si>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</si>
  <si>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</si>
  <si>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</si>
  <si>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</si>
  <si>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</si>
  <si>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</si>
  <si>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</si>
  <si>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</si>
  <si>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</si>
  <si>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</si>
  <si>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</si>
  <si>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</si>
  <si>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</si>
  <si>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</si>
  <si>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</si>
  <si>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</si>
  <si>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</si>
  <si>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</si>
  <si>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</si>
  <si>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</si>
  <si>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</si>
  <si>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</si>
  <si>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</si>
  <si>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</si>
  <si>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</si>
  <si>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</si>
  <si>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</si>
  <si>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</si>
  <si>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</si>
  <si>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</si>
  <si>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</si>
  <si>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</si>
  <si>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</si>
  <si>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</si>
  <si>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</si>
  <si>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</si>
  <si>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</si>
  <si>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</si>
  <si>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</si>
  <si>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</si>
  <si>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</si>
  <si>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</si>
  <si>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</si>
  <si>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</si>
  <si>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</si>
  <si>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</si>
  <si>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</si>
  <si>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</si>
  <si>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</si>
  <si>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</si>
  <si>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</si>
  <si>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</si>
  <si>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</si>
  <si>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</si>
  <si>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</si>
  <si>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</si>
  <si>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</si>
  <si>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</si>
  <si>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</si>
  <si>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</si>
  <si>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</si>
  <si>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</si>
  <si>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</si>
  <si>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</si>
  <si>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</si>
  <si>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</si>
  <si>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</si>
  <si>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</si>
  <si>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</si>
  <si>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</si>
  <si>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</si>
  <si>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</si>
  <si>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</si>
  <si>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</si>
  <si>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</si>
  <si>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</si>
  <si>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</si>
  <si>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</si>
  <si>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</si>
  <si>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</si>
  <si>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</si>
  <si>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</si>
  <si>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</si>
  <si>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</si>
  <si>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</si>
  <si>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</si>
  <si>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</si>
  <si>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</si>
  <si>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</si>
  <si>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</si>
  <si>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</si>
  <si>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</si>
  <si>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</si>
  <si>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</si>
  <si>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</si>
  <si>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</si>
  <si>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</si>
  <si>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</si>
  <si>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</si>
  <si>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</si>
  <si>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</si>
  <si>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</si>
  <si>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</si>
  <si>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</si>
  <si>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</si>
  <si>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</si>
  <si>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</si>
  <si>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</si>
  <si>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</si>
  <si>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</si>
  <si>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</si>
  <si>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</si>
  <si>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</si>
  <si>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</si>
  <si>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</si>
  <si>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</si>
  <si>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</si>
  <si>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</si>
  <si>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</si>
  <si>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</si>
  <si>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</si>
  <si>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</si>
  <si>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</si>
  <si>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</si>
  <si>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</si>
  <si>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</si>
  <si>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</si>
  <si>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</si>
  <si>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</si>
  <si>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</si>
  <si>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</si>
  <si>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</si>
  <si>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</si>
  <si>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</si>
  <si>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</si>
  <si>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</si>
  <si>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</si>
  <si>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</si>
  <si>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</si>
  <si>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</si>
  <si>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</si>
  <si>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</si>
  <si>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</si>
  <si>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</si>
  <si>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</si>
  <si>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</si>
  <si>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</si>
  <si>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</si>
  <si>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</si>
  <si>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</si>
  <si>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</si>
  <si>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</si>
  <si>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</si>
  <si>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</si>
  <si>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</si>
  <si>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</si>
  <si>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</si>
  <si>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</si>
  <si>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</si>
  <si>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</si>
  <si>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</si>
  <si>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</si>
  <si>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</si>
  <si>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</si>
  <si>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</si>
  <si>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</si>
  <si>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</si>
  <si>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</si>
  <si>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</si>
  <si>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</si>
  <si>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</si>
  <si>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</si>
  <si>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</si>
  <si>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</si>
  <si>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</si>
  <si>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</si>
  <si>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</si>
  <si>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</si>
  <si>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</si>
  <si>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</si>
  <si>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</si>
  <si>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</si>
  <si>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</si>
  <si>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</si>
  <si>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</si>
  <si>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</si>
  <si>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</si>
  <si>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</si>
  <si>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</si>
  <si>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</si>
  <si>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</si>
  <si>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</si>
  <si>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</si>
  <si>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</si>
  <si>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</si>
  <si>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</si>
  <si>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</si>
  <si>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</si>
  <si>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</si>
  <si>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</si>
  <si>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</si>
  <si>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</si>
  <si>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</si>
  <si>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</si>
  <si>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</si>
  <si>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</si>
  <si>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</si>
  <si>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</si>
  <si>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</si>
  <si>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</si>
  <si>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</si>
  <si>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</si>
  <si>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</si>
  <si>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</si>
  <si>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</si>
  <si>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</si>
  <si>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</si>
  <si>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</si>
  <si>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</si>
  <si>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</si>
  <si>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</si>
  <si>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</si>
  <si>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</si>
  <si>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</si>
  <si>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</si>
  <si>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</si>
  <si>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</si>
  <si>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</si>
  <si>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</si>
  <si>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</si>
  <si>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</si>
  <si>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</si>
  <si>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</si>
  <si>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</si>
  <si>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</si>
  <si>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</si>
  <si>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</si>
  <si>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</si>
  <si>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</si>
  <si>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</si>
  <si>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</si>
  <si>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</si>
  <si>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</si>
  <si>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</si>
  <si>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</si>
  <si>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</si>
  <si>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</si>
  <si>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</si>
  <si>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</si>
  <si>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</si>
  <si>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</si>
  <si>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</si>
  <si>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</si>
  <si>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</si>
  <si>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</si>
  <si>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</si>
  <si>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</si>
  <si>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</si>
  <si>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</si>
  <si>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</si>
  <si>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</si>
  <si>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</si>
  <si>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</si>
  <si>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</si>
  <si>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</si>
  <si>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</si>
  <si>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</si>
  <si>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</si>
  <si>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</si>
  <si>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</si>
  <si>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</si>
  <si>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</si>
  <si>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</si>
  <si>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</si>
  <si>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</si>
  <si>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</si>
  <si>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</si>
  <si>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</si>
  <si>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</si>
  <si>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</si>
  <si>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</si>
  <si>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</si>
  <si>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</si>
  <si>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</si>
  <si>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</si>
  <si>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</si>
  <si>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</si>
  <si>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</si>
  <si>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</si>
  <si>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</si>
  <si>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</si>
  <si>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</si>
  <si>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</si>
  <si>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</si>
  <si>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</si>
  <si>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</si>
  <si>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</si>
  <si>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</si>
  <si>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</si>
  <si>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</si>
  <si>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</si>
  <si>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</si>
  <si>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</si>
  <si>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</si>
  <si>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</si>
  <si>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</si>
  <si>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</si>
  <si>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</si>
  <si>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</si>
  <si>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</si>
  <si>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</si>
  <si>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</si>
  <si>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</si>
  <si>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</si>
  <si>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</si>
  <si>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</si>
  <si>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</si>
  <si>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</si>
  <si>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</si>
  <si>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</si>
  <si>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</si>
  <si>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</si>
  <si>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</si>
  <si>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</si>
  <si>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</si>
  <si>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</si>
  <si>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</si>
  <si>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</si>
  <si>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</si>
  <si>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</si>
  <si>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</si>
  <si>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</si>
  <si>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</si>
  <si>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</si>
  <si>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</si>
  <si>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</si>
  <si>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</si>
  <si>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</si>
  <si>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</si>
  <si>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</si>
  <si>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</si>
  <si>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</si>
  <si>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</si>
  <si>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</si>
  <si>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</si>
  <si>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</si>
  <si>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</si>
  <si>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</si>
  <si>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</si>
  <si>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</si>
  <si>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</si>
  <si>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</si>
  <si>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</si>
  <si>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</si>
  <si>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</si>
  <si>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</si>
  <si>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</si>
  <si>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</si>
  <si>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</si>
  <si>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</si>
  <si>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</si>
  <si>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</si>
  <si>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</si>
  <si>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</si>
  <si>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</si>
  <si>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</si>
  <si>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</si>
  <si>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</si>
  <si>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</si>
  <si>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</si>
  <si>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</si>
  <si>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</si>
  <si>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</si>
  <si>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</si>
  <si>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</si>
  <si>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</si>
  <si>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</si>
  <si>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</si>
  <si>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</si>
  <si>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</si>
  <si>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</si>
  <si>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</si>
  <si>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</si>
  <si>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</si>
  <si>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</si>
  <si>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</si>
  <si>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</si>
  <si>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</si>
  <si>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</si>
  <si>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</si>
  <si>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</si>
  <si>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</si>
  <si>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</si>
  <si>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</si>
  <si>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</si>
  <si>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</si>
  <si>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</si>
  <si>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</si>
  <si>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</si>
  <si>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</si>
  <si>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</si>
  <si>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</si>
  <si>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</si>
  <si>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</si>
  <si>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</si>
  <si>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</si>
  <si>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</si>
  <si>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</si>
  <si>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</si>
  <si>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</si>
  <si>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</si>
  <si>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</si>
  <si>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</si>
  <si>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</si>
  <si>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</si>
  <si>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</si>
  <si>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</si>
  <si>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</si>
  <si>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</si>
  <si>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</si>
  <si>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</si>
  <si>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</si>
  <si>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</si>
  <si>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</si>
  <si>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</si>
  <si>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</si>
  <si>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</si>
  <si>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</si>
  <si>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</si>
  <si>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</si>
  <si>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</si>
  <si>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</si>
  <si>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</si>
  <si>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</si>
  <si>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</si>
  <si>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</si>
  <si>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</si>
  <si>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</si>
  <si>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</si>
  <si>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</si>
  <si>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</si>
  <si>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</si>
  <si>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</si>
  <si>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</si>
  <si>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</si>
  <si>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</si>
  <si>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</si>
  <si>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</si>
  <si>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</si>
  <si>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</si>
  <si>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</si>
  <si>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</si>
  <si>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</si>
  <si>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</si>
  <si>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</si>
  <si>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</si>
  <si>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</si>
  <si>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</si>
  <si>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</si>
  <si>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</si>
  <si>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</si>
  <si>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</si>
  <si>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</si>
  <si>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</si>
  <si>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</si>
  <si>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</si>
  <si>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</si>
  <si>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</si>
  <si>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</si>
  <si>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</si>
  <si>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</si>
  <si>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</si>
  <si>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</si>
  <si>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</si>
  <si>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</si>
  <si>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</si>
  <si>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</si>
  <si>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</si>
  <si>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</si>
  <si>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</si>
  <si>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</si>
  <si>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</si>
  <si>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</si>
  <si>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</si>
  <si>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</si>
  <si>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</si>
  <si>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</si>
  <si>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</si>
  <si>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</si>
  <si>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</si>
  <si>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</si>
  <si>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</si>
  <si>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</si>
  <si>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</si>
  <si>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</si>
  <si>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</si>
  <si>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</si>
  <si>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</si>
  <si>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</si>
  <si>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</si>
  <si>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</si>
  <si>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</si>
  <si>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</si>
  <si>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</si>
  <si>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</si>
  <si>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</si>
  <si>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</si>
  <si>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</si>
  <si>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</si>
  <si>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</si>
  <si>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</si>
  <si>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</si>
  <si>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</si>
  <si>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</si>
  <si>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</si>
  <si>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</si>
  <si>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</si>
  <si>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</si>
  <si>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</si>
  <si>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</si>
  <si>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</si>
  <si>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</si>
  <si>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</si>
  <si>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</si>
  <si>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</si>
  <si>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</si>
  <si>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</si>
  <si>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</si>
  <si>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</si>
  <si>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</si>
  <si>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</si>
  <si>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</si>
  <si>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</si>
  <si>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</si>
  <si>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</si>
  <si>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</si>
  <si>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</si>
  <si>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</si>
  <si>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</si>
  <si>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</si>
  <si>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</si>
  <si>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</si>
  <si>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</si>
  <si>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</si>
  <si>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</si>
  <si>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</si>
  <si>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</si>
  <si>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</si>
  <si>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</si>
  <si>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</si>
  <si>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</si>
  <si>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</si>
  <si>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</si>
  <si>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</si>
  <si>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</si>
  <si>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</si>
  <si>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</si>
  <si>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</si>
  <si>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</si>
  <si>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</si>
  <si>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</si>
  <si>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</si>
  <si>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</si>
  <si>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</si>
  <si>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</si>
  <si>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</si>
  <si>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</si>
  <si>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</si>
  <si>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</si>
  <si>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</si>
  <si>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</si>
  <si>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</si>
  <si>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</si>
  <si>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</si>
  <si>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</si>
  <si>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</si>
  <si>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</si>
  <si>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</si>
  <si>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</si>
  <si>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</si>
  <si>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</si>
  <si>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</si>
  <si>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</si>
  <si>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</si>
  <si>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</si>
  <si>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</si>
  <si>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</si>
  <si>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</si>
  <si>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</si>
  <si>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</si>
  <si>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</si>
  <si>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</si>
  <si>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</si>
  <si>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</si>
  <si>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</si>
  <si>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</si>
  <si>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</si>
  <si>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</si>
  <si>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</si>
  <si>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</si>
  <si>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</si>
  <si>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</si>
  <si>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</si>
  <si>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</si>
  <si>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</si>
  <si>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</si>
  <si>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</si>
  <si>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</si>
  <si>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</si>
  <si>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</si>
  <si>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</si>
  <si>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</si>
  <si>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</si>
  <si>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</si>
  <si>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</si>
  <si>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</si>
  <si>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</si>
  <si>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</si>
  <si>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</si>
  <si>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</si>
  <si>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</si>
  <si>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</si>
  <si>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</si>
  <si>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</si>
  <si>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</si>
  <si>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</si>
  <si>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</si>
  <si>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</si>
  <si>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</si>
  <si>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</si>
  <si>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</si>
  <si>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</si>
  <si>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</si>
  <si>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</si>
  <si>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</si>
  <si>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</si>
  <si>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</si>
  <si>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</si>
  <si>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</si>
  <si>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</si>
  <si>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</si>
  <si>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</si>
  <si>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</si>
  <si>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</si>
  <si>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</si>
  <si>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</si>
  <si>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</si>
  <si>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</si>
  <si>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</si>
  <si>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</si>
  <si>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</si>
  <si>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</si>
  <si>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</si>
  <si>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</si>
  <si>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</si>
  <si>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</si>
  <si>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</si>
  <si>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</si>
  <si>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</si>
  <si>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</si>
  <si>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</si>
  <si>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</si>
  <si>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</si>
  <si>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</si>
  <si>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</si>
  <si>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</si>
  <si>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</si>
  <si>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</si>
  <si>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</si>
  <si>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</si>
  <si>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</si>
  <si>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</si>
  <si>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</si>
  <si>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</si>
  <si>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</si>
  <si>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</si>
  <si>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</si>
  <si>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</si>
  <si>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</si>
  <si>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</si>
  <si>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</si>
  <si>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</si>
  <si>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</si>
  <si>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</si>
  <si>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</si>
  <si>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</si>
  <si>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</si>
  <si>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</si>
  <si>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</si>
  <si>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</si>
  <si>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</si>
  <si>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</si>
  <si>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</si>
  <si>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</si>
  <si>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</si>
  <si>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</si>
  <si>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</si>
  <si>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</si>
  <si>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</si>
  <si>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</si>
  <si>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</si>
  <si>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</si>
  <si>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</si>
  <si>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</si>
  <si>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</si>
  <si>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</si>
  <si>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</si>
  <si>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</si>
  <si>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</si>
  <si>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</si>
  <si>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</si>
  <si>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</si>
  <si>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</si>
  <si>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</si>
  <si>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</si>
  <si>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</si>
  <si>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</si>
  <si>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</si>
  <si>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</si>
  <si>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</si>
  <si>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</si>
  <si>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</si>
  <si>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</si>
  <si>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</si>
  <si>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</si>
  <si>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</si>
  <si>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</si>
  <si>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</si>
  <si>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</si>
  <si>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</si>
  <si>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</si>
  <si>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</si>
  <si>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</si>
  <si>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</si>
  <si>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</si>
  <si>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</si>
  <si>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</si>
  <si>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</si>
  <si>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</si>
  <si>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</si>
  <si>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</si>
  <si>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</si>
  <si>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</si>
  <si>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</si>
  <si>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</si>
  <si>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</si>
  <si>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</si>
  <si>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</si>
  <si>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</si>
  <si>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</si>
  <si>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</si>
  <si>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</si>
  <si>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</si>
  <si>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</si>
  <si>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</si>
  <si>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</si>
  <si>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</si>
  <si>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</si>
  <si>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</si>
  <si>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</si>
  <si>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</si>
  <si>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</si>
  <si>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</si>
  <si>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</si>
  <si>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</si>
  <si>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</si>
  <si>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</si>
  <si>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</si>
  <si>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</si>
  <si>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</si>
  <si>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</si>
  <si>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</si>
  <si>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</si>
  <si>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</si>
  <si>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</si>
  <si>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</si>
  <si>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</si>
  <si>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</si>
  <si>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</si>
  <si>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</si>
  <si>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</si>
  <si>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</si>
  <si>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</si>
  <si>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</si>
  <si>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</si>
  <si>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</si>
  <si>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</si>
  <si>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</si>
  <si>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</si>
  <si>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</si>
  <si>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</si>
  <si>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</si>
  <si>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</si>
  <si>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</si>
  <si>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</si>
  <si>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</si>
  <si>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</si>
  <si>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</si>
  <si>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</si>
  <si>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</si>
  <si>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</si>
  <si>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</si>
  <si>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</si>
  <si>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</si>
  <si>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</si>
  <si>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</si>
  <si>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</si>
  <si>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</si>
  <si>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</si>
  <si>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</si>
  <si>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</si>
  <si>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</si>
  <si>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</si>
  <si>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</si>
  <si>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</si>
  <si>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</si>
  <si>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</si>
  <si>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</si>
  <si>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</si>
  <si>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</si>
  <si>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</si>
  <si>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</si>
  <si>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</si>
  <si>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</si>
  <si>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</si>
  <si>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</si>
  <si>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</si>
  <si>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</si>
  <si>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</si>
  <si>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</si>
  <si>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</si>
  <si>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</si>
  <si>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</si>
  <si>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</si>
  <si>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</si>
  <si>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</si>
  <si>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</si>
  <si>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</si>
  <si>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</si>
  <si>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</si>
  <si>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</si>
  <si>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</si>
  <si>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</si>
  <si>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</si>
  <si>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</si>
  <si>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</si>
  <si>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</si>
  <si>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</si>
  <si>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</si>
  <si>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</si>
  <si>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</si>
  <si>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</si>
  <si>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</si>
  <si>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</si>
  <si>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</si>
  <si>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</si>
  <si>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</si>
  <si>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</si>
  <si>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</si>
  <si>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</si>
  <si>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</si>
  <si>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</si>
  <si>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</si>
  <si>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</si>
  <si>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</si>
  <si>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</si>
  <si>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</si>
  <si>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</si>
  <si>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</si>
  <si>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</si>
  <si>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</si>
  <si>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</si>
  <si>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</si>
  <si>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</si>
  <si>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</si>
  <si>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</si>
  <si>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</si>
  <si>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</si>
  <si>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</si>
  <si>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</si>
  <si>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</si>
  <si>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</si>
  <si>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</si>
  <si>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</si>
  <si>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</si>
  <si>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</si>
  <si>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</si>
  <si>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</si>
  <si>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</si>
  <si>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</si>
  <si>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</si>
  <si>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</si>
  <si>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</si>
  <si>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</si>
  <si>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</si>
  <si>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</si>
  <si>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</si>
  <si>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</si>
  <si>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</si>
  <si>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</si>
  <si>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</si>
  <si>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</si>
  <si>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</si>
  <si>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</si>
  <si>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</si>
  <si>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</si>
  <si>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</si>
  <si>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</si>
  <si>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</si>
  <si>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</si>
  <si>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</si>
  <si>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</si>
  <si>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</si>
  <si>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</si>
  <si>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</si>
  <si>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</si>
  <si>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</si>
  <si>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</si>
  <si>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</si>
  <si>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</si>
  <si>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</si>
  <si>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</si>
  <si>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</si>
  <si>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</si>
  <si>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</si>
  <si>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</si>
  <si>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</si>
  <si>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</si>
  <si>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</si>
  <si>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</si>
  <si>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</si>
  <si>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</si>
  <si>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</si>
  <si>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</si>
  <si>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</si>
  <si>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</si>
  <si>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</si>
  <si>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</si>
  <si>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</si>
  <si>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</si>
  <si>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</si>
  <si>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</si>
  <si>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</si>
  <si>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</si>
  <si>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</si>
  <si>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</si>
  <si>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</si>
  <si>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</si>
  <si>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</si>
  <si>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</si>
  <si>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</si>
  <si>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</si>
  <si>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</si>
  <si>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</si>
  <si>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</si>
  <si>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</si>
  <si>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</si>
  <si>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</si>
  <si>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</si>
  <si>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</si>
  <si>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</si>
  <si>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</si>
  <si>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</si>
  <si>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</si>
  <si>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</si>
  <si>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</si>
  <si>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</si>
  <si>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</si>
  <si>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</si>
  <si>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</si>
  <si>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</si>
  <si>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</si>
  <si>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</si>
  <si>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</si>
  <si>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</si>
  <si>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</si>
  <si>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</si>
  <si>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</si>
  <si>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</si>
  <si>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</si>
  <si>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</si>
  <si>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</si>
  <si>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</si>
  <si>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</si>
  <si>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</si>
  <si>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</si>
  <si>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</si>
  <si>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</si>
  <si>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</si>
  <si>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</si>
  <si>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</si>
  <si>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</si>
  <si>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</si>
  <si>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</si>
  <si>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</si>
  <si>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</si>
  <si>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</si>
  <si>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</si>
  <si>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</si>
  <si>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</si>
  <si>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</si>
  <si>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</si>
  <si>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</si>
  <si>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</si>
  <si>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</si>
  <si>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</si>
  <si>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</si>
  <si>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</si>
  <si>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</si>
  <si>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</si>
  <si>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</si>
  <si>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</si>
  <si>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</si>
  <si>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</si>
  <si>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</si>
  <si>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</si>
  <si>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</si>
  <si>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</si>
  <si>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</si>
  <si>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</si>
  <si>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</si>
  <si>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</si>
  <si>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</si>
  <si>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</si>
  <si>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</si>
  <si>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</si>
  <si>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</si>
  <si>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</si>
  <si>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</si>
  <si>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</si>
  <si>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</si>
  <si>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</si>
  <si>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</si>
  <si>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</si>
  <si>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</si>
  <si>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</si>
  <si>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</si>
  <si>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</si>
  <si>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</si>
  <si>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</si>
  <si>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</si>
  <si>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</si>
  <si>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</si>
  <si>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</si>
  <si>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</si>
  <si>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</si>
  <si>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</si>
  <si>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</si>
  <si>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</si>
  <si>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</si>
  <si>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</si>
  <si>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</si>
  <si>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</si>
  <si>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</si>
  <si>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</si>
  <si>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</si>
  <si>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</si>
  <si>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</si>
  <si>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</si>
  <si>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</si>
  <si>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</si>
  <si>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</si>
  <si>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</si>
  <si>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</si>
  <si>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</si>
  <si>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</si>
  <si>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</si>
  <si>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</si>
  <si>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</si>
  <si>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</si>
  <si>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</si>
  <si>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</si>
  <si>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</si>
  <si>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</si>
  <si>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</si>
  <si>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</si>
  <si>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</si>
  <si>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</si>
  <si>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</si>
  <si>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</si>
  <si>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</si>
  <si>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</si>
  <si>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</si>
  <si>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</si>
  <si>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</si>
  <si>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</si>
  <si>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</si>
  <si>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</si>
  <si>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</si>
  <si>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</si>
  <si>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</si>
  <si>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</si>
  <si>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</si>
  <si>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</si>
  <si>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</si>
  <si>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</si>
  <si>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</si>
  <si>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</si>
  <si>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</si>
  <si>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</si>
  <si>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</si>
  <si>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</si>
  <si>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</si>
  <si>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</si>
  <si>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</si>
  <si>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</si>
  <si>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</si>
  <si>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</si>
  <si>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</si>
  <si>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</si>
  <si>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</si>
  <si>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</si>
  <si>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</si>
  <si>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</si>
  <si>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</si>
  <si>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</si>
  <si>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</si>
  <si>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</si>
  <si>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</si>
  <si>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</si>
  <si>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</si>
  <si>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</si>
  <si>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</si>
  <si>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</si>
  <si>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</si>
  <si>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</si>
  <si>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</si>
  <si>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</si>
  <si>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</si>
  <si>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</si>
  <si>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</si>
  <si>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</si>
  <si>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</si>
  <si>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</si>
  <si>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</si>
  <si>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</si>
  <si>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</si>
  <si>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</si>
  <si>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</si>
  <si>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</si>
  <si>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</si>
  <si>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</si>
  <si>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</si>
  <si>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</si>
  <si>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</si>
  <si>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</si>
  <si>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</si>
  <si>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</si>
  <si>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</si>
  <si>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</si>
  <si>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</si>
  <si>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</si>
  <si>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</si>
  <si>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</si>
  <si>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</si>
  <si>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</si>
  <si>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</si>
  <si>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</si>
  <si>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</si>
  <si>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</si>
  <si>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</si>
  <si>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</si>
  <si>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</si>
  <si>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</si>
  <si>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</si>
  <si>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</si>
  <si>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</si>
  <si>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</si>
  <si>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</si>
  <si>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</si>
  <si>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</si>
  <si>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</si>
  <si>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</si>
  <si>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</si>
  <si>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</si>
  <si>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</si>
  <si>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</si>
  <si>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</si>
  <si>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</si>
  <si>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</si>
  <si>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</si>
  <si>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</si>
  <si>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</si>
  <si>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</si>
  <si>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</si>
  <si>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</si>
  <si>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</si>
  <si>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</si>
  <si>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</si>
  <si>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</si>
  <si>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</si>
  <si>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</si>
  <si>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</si>
  <si>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</si>
  <si>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</si>
  <si>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</si>
  <si>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</si>
  <si>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</si>
  <si>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</si>
  <si>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</si>
  <si>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</si>
  <si>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</si>
  <si>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</si>
  <si>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</si>
  <si>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</si>
  <si>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</si>
  <si>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</si>
  <si>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</si>
  <si>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</si>
  <si>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</si>
  <si>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</si>
  <si>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</si>
  <si>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</si>
  <si>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</si>
  <si>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</si>
  <si>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</si>
  <si>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</si>
  <si>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</si>
  <si>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</si>
  <si>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</si>
  <si>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</si>
  <si>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</si>
  <si>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</si>
  <si>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</si>
  <si>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</si>
  <si>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</si>
  <si>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</si>
  <si>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</si>
  <si>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</si>
  <si>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</si>
  <si>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</si>
  <si>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</si>
  <si>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</si>
  <si>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</si>
  <si>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</si>
  <si>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</si>
  <si>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</si>
  <si>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</si>
  <si>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</si>
  <si>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</si>
  <si>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</si>
  <si>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</si>
  <si>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</si>
  <si>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</si>
  <si>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</si>
  <si>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</si>
  <si>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</si>
  <si>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</si>
  <si>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</si>
  <si>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</si>
  <si>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</si>
  <si>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</si>
  <si>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</si>
  <si>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</si>
  <si>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</si>
  <si>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</si>
  <si>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</si>
  <si>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</si>
  <si>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</si>
  <si>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</si>
  <si>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</si>
  <si>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</si>
  <si>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</si>
  <si>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</si>
  <si>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</si>
  <si>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</si>
  <si>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</si>
  <si>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</si>
  <si>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</si>
  <si>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</si>
  <si>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</si>
  <si>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</si>
  <si>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</si>
  <si>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</si>
  <si>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</si>
  <si>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</si>
  <si>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</si>
  <si>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</si>
  <si>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</si>
  <si>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</si>
  <si>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</si>
  <si>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</si>
  <si>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</si>
  <si>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</si>
  <si>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</si>
  <si>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</si>
  <si>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</si>
  <si>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</si>
  <si>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</si>
  <si>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</si>
  <si>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</si>
  <si>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</si>
  <si>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</si>
  <si>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</si>
  <si>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</si>
  <si>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</si>
  <si>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</si>
  <si>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</si>
  <si>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</si>
  <si>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</si>
  <si>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</si>
  <si>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</si>
  <si>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</si>
  <si>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</si>
  <si>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</si>
  <si>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</si>
  <si>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</si>
  <si>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</si>
  <si>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</si>
  <si>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</si>
  <si>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</si>
  <si>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</si>
  <si>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</si>
  <si>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</si>
  <si>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</si>
  <si>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</si>
  <si>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</si>
  <si>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</si>
  <si>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</si>
  <si>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</si>
  <si>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</si>
  <si>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</si>
  <si>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</si>
  <si>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</si>
  <si>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</si>
  <si>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</si>
  <si>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</si>
  <si>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</si>
  <si>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</si>
  <si>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</si>
  <si>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</si>
  <si>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</si>
  <si>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</si>
  <si>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</si>
  <si>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</si>
  <si>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</si>
  <si>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</si>
  <si>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</si>
  <si>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</si>
  <si>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</si>
  <si>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</si>
  <si>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</si>
  <si>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</si>
  <si>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</si>
  <si>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</si>
  <si>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</si>
  <si>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</si>
  <si>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</si>
  <si>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</si>
  <si>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</si>
  <si>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</si>
  <si>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</si>
  <si>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</si>
  <si>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</si>
  <si>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</si>
  <si>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</si>
  <si>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</si>
  <si>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</si>
  <si>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</si>
  <si>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</si>
  <si>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</si>
  <si>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</si>
  <si>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</si>
  <si>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</si>
  <si>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</si>
  <si>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</si>
  <si>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</si>
  <si>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</si>
  <si>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</si>
  <si>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</si>
  <si>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</si>
  <si>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</si>
  <si>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</si>
  <si>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</si>
  <si>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</si>
  <si>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</si>
  <si>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</si>
  <si>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</si>
  <si>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</si>
  <si>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</si>
  <si>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</si>
  <si>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</si>
  <si>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</si>
  <si>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</si>
  <si>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</si>
  <si>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</si>
  <si>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</si>
  <si>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</si>
  <si>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</si>
  <si>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</si>
  <si>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</si>
  <si>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</si>
  <si>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</si>
  <si>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</si>
  <si>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</si>
  <si>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</si>
  <si>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</si>
  <si>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</si>
  <si>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</si>
  <si>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</si>
  <si>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</si>
  <si>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</si>
  <si>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</si>
  <si>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</si>
  <si>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</si>
  <si>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</si>
  <si>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</si>
  <si>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</si>
  <si>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</si>
  <si>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</si>
  <si>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</si>
  <si>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</si>
  <si>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</si>
  <si>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</si>
  <si>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</si>
  <si>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</si>
  <si>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</si>
  <si>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</si>
  <si>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</si>
  <si>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</si>
  <si>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</si>
  <si>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</si>
  <si>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</si>
  <si>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</si>
  <si>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</si>
  <si>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</si>
  <si>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</si>
  <si>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</si>
  <si>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</si>
  <si>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</si>
  <si>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</si>
  <si>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</si>
  <si>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</si>
  <si>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</si>
  <si>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</si>
  <si>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</si>
  <si>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</si>
  <si>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</si>
  <si>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</si>
  <si>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</si>
  <si>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</si>
  <si>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</si>
  <si>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</si>
  <si>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</si>
  <si>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</si>
  <si>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</si>
  <si>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</si>
  <si>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</si>
  <si>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</si>
  <si>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</si>
  <si>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</si>
  <si>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</si>
  <si>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</si>
  <si>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</si>
  <si>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</si>
  <si>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</si>
  <si>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</si>
  <si>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</si>
  <si>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</si>
  <si>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</si>
  <si>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</si>
  <si>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</si>
  <si>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</si>
  <si>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</si>
  <si>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</si>
  <si>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</si>
  <si>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</si>
  <si>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</si>
  <si>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</si>
  <si>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</si>
  <si>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</si>
  <si>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</si>
  <si>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</si>
  <si>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</si>
  <si>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</si>
  <si>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</si>
  <si>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</si>
  <si>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</si>
  <si>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</si>
  <si>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</si>
  <si>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</si>
  <si>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</si>
  <si>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</si>
  <si>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</si>
  <si>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</si>
  <si>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</si>
  <si>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</si>
  <si>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</si>
  <si>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</si>
  <si>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</si>
  <si>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</si>
  <si>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</si>
  <si>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</si>
  <si>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</si>
  <si>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</si>
  <si>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</si>
  <si>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</si>
  <si>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</si>
  <si>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</si>
  <si>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</si>
  <si>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</si>
  <si>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</si>
  <si>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</si>
  <si>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</si>
  <si>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</si>
  <si>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</si>
  <si>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</si>
  <si>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</si>
  <si>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</si>
  <si>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</si>
  <si>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</si>
  <si>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</si>
  <si>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</si>
  <si>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</si>
  <si>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</si>
  <si>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</si>
  <si>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</si>
  <si>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</si>
  <si>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</si>
  <si>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</si>
  <si>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</si>
  <si>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</si>
  <si>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</si>
  <si>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</si>
  <si>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</si>
  <si>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</si>
  <si>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</si>
  <si>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</si>
  <si>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</si>
  <si>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</si>
  <si>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</si>
  <si>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</si>
  <si>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</si>
  <si>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</si>
  <si>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</si>
  <si>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</si>
  <si>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</si>
  <si>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</si>
  <si>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</si>
  <si>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</si>
  <si>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</si>
  <si>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</si>
  <si>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</si>
  <si>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</si>
  <si>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</si>
  <si>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</si>
  <si>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</si>
  <si>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</si>
  <si>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</si>
  <si>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</si>
  <si>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</si>
  <si>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</si>
  <si>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</si>
  <si>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</si>
  <si>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</si>
  <si>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</si>
  <si>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</si>
  <si>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</si>
  <si>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</si>
  <si>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</si>
  <si>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</si>
  <si>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</si>
  <si>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</si>
  <si>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</si>
  <si>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</si>
  <si>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</si>
  <si>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</si>
  <si>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</si>
  <si>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</si>
  <si>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</si>
  <si>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</si>
  <si>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</si>
  <si>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</si>
  <si>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</si>
  <si>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</si>
  <si>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</si>
  <si>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</si>
  <si>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</si>
  <si>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</si>
  <si>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</si>
  <si>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</si>
  <si>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</si>
  <si>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</si>
  <si>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</si>
  <si>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</si>
  <si>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</si>
  <si>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</si>
  <si>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</si>
  <si>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</si>
  <si>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</si>
  <si>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</si>
  <si>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</si>
  <si>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</si>
  <si>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</si>
  <si>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</si>
  <si>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</si>
  <si>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</si>
  <si>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</si>
  <si>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</si>
  <si>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</si>
  <si>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</si>
  <si>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</si>
  <si>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</si>
  <si>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</si>
  <si>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</si>
  <si>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</si>
  <si>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</si>
  <si>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</si>
  <si>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</si>
  <si>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</si>
  <si>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</si>
  <si>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</si>
  <si>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</si>
  <si>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</si>
  <si>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</si>
  <si>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</si>
  <si>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</si>
  <si>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</si>
  <si>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</si>
  <si>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</si>
  <si>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</si>
  <si>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</si>
  <si>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</si>
  <si>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</si>
  <si>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</si>
  <si>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</si>
  <si>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</si>
  <si>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</si>
  <si>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</si>
  <si>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</si>
  <si>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</si>
  <si>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</si>
  <si>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</si>
  <si>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</si>
  <si>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</si>
  <si>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</si>
  <si>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</si>
  <si>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</si>
  <si>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</si>
  <si>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</si>
  <si>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</si>
  <si>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</si>
  <si>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</si>
  <si>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</si>
  <si>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</si>
  <si>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</si>
  <si>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</si>
  <si>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</si>
  <si>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</si>
  <si>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</si>
  <si>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</si>
  <si>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</si>
  <si>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</si>
  <si>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</si>
  <si>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</si>
  <si>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</si>
  <si>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</si>
  <si>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</si>
  <si>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</si>
  <si>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</si>
  <si>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</si>
  <si>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</si>
  <si>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</si>
  <si>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</si>
  <si>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</si>
  <si>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</si>
  <si>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</si>
  <si>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</si>
  <si>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</si>
  <si>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</si>
  <si>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</si>
  <si>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</si>
  <si>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</si>
  <si>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</si>
  <si>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</si>
  <si>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</si>
  <si>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</si>
  <si>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</si>
  <si>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</si>
  <si>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</si>
  <si>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</si>
  <si>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</si>
  <si>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</si>
  <si>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</si>
  <si>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</si>
  <si>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</si>
  <si>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</si>
  <si>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</si>
  <si>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</si>
  <si>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</si>
  <si>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</si>
  <si>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</si>
  <si>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</si>
  <si>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</si>
  <si>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</si>
  <si>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</si>
  <si>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</si>
  <si>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</si>
  <si>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</si>
  <si>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</si>
  <si>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</si>
  <si>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</si>
  <si>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</si>
  <si>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</si>
  <si>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</si>
  <si>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</si>
  <si>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</si>
  <si>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</si>
  <si>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</si>
  <si>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</si>
  <si>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</si>
  <si>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</si>
  <si>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</si>
  <si>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</si>
  <si>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</si>
  <si>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</si>
  <si>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</si>
  <si>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</si>
  <si>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</si>
  <si>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</si>
  <si>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</si>
  <si>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</si>
  <si>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</si>
  <si>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</si>
  <si>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</si>
  <si>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</si>
  <si>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</si>
  <si>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</si>
  <si>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</si>
  <si>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</si>
  <si>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</si>
  <si>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</si>
  <si>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</si>
  <si>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</si>
  <si>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</si>
  <si>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</si>
  <si>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</si>
  <si>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</si>
  <si>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</si>
  <si>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</si>
  <si>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</si>
  <si>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</si>
  <si>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</si>
  <si>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</si>
  <si>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</si>
  <si>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</si>
  <si>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</si>
  <si>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</si>
  <si>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</si>
  <si>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</si>
  <si>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</si>
  <si>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</si>
  <si>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</si>
  <si>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</si>
  <si>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</si>
  <si>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</si>
  <si>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</si>
  <si>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</si>
  <si>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</si>
  <si>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</si>
  <si>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</si>
  <si>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</si>
  <si>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</si>
  <si>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</si>
  <si>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</si>
  <si>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</si>
  <si>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</si>
  <si>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</si>
  <si>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</si>
  <si>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</si>
  <si>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</si>
  <si>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</si>
  <si>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</si>
  <si>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</si>
  <si>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</si>
  <si>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</si>
  <si>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</si>
  <si>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</si>
  <si>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</si>
  <si>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</si>
  <si>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</si>
  <si>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</si>
  <si>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</si>
  <si>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</si>
  <si>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</si>
  <si>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</si>
  <si>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</si>
  <si>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</si>
  <si>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</si>
  <si>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</si>
  <si>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</si>
  <si>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</si>
  <si>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</si>
  <si>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</si>
  <si>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</si>
  <si>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</si>
  <si>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</si>
  <si>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</si>
  <si>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</si>
  <si>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</si>
  <si>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</si>
  <si>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</si>
  <si>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</si>
  <si>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</si>
  <si>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</si>
  <si>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</si>
  <si>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</si>
  <si>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</si>
  <si>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</si>
  <si>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</si>
  <si>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</si>
  <si>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</si>
  <si>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</si>
  <si>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</si>
  <si>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</si>
  <si>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</si>
  <si>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</si>
  <si>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</si>
  <si>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</si>
  <si>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</si>
  <si>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</si>
  <si>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</si>
  <si>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</si>
  <si>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</si>
  <si>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</si>
  <si>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</si>
  <si>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</si>
  <si>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</si>
  <si>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</si>
  <si>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</si>
  <si>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</si>
  <si>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</si>
  <si>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</si>
  <si>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</si>
  <si>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</si>
  <si>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</si>
  <si>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</si>
  <si>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</si>
  <si>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</si>
  <si>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</si>
  <si>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</si>
  <si>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</si>
  <si>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</si>
  <si>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</si>
  <si>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</si>
  <si>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</si>
  <si>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</si>
  <si>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</si>
  <si>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</si>
  <si>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</si>
  <si>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</si>
  <si>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</si>
  <si>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</si>
  <si>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</si>
  <si>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</si>
  <si>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</si>
  <si>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</si>
  <si>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</si>
  <si>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</si>
  <si>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</si>
  <si>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</si>
  <si>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</si>
  <si>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</si>
  <si>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</si>
  <si>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</si>
  <si>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</si>
  <si>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</si>
  <si>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</si>
  <si>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</si>
  <si>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</si>
  <si>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</si>
  <si>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</si>
  <si>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</si>
  <si>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</si>
  <si>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</si>
  <si>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</si>
  <si>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</si>
  <si>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</si>
  <si>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</si>
  <si>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</si>
  <si>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</si>
  <si>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</si>
  <si>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</si>
  <si>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</si>
  <si>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</si>
  <si>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</si>
  <si>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</si>
  <si>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</si>
  <si>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</si>
  <si>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</si>
  <si>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</si>
  <si>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</si>
  <si>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</si>
  <si>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</si>
  <si>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</si>
  <si>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</si>
  <si>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</si>
  <si>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</si>
  <si>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</si>
  <si>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</si>
  <si>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</si>
  <si>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</si>
  <si>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</si>
  <si>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</si>
  <si>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</si>
  <si>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</si>
  <si>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</si>
  <si>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</si>
  <si>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</si>
  <si>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</si>
  <si>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</si>
  <si>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</si>
  <si>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</si>
  <si>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</si>
  <si>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</si>
  <si>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</si>
  <si>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</si>
  <si>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</si>
  <si>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</si>
  <si>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</si>
  <si>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</si>
  <si>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</si>
  <si>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</si>
  <si>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</si>
  <si>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</si>
  <si>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</si>
  <si>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</si>
  <si>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</si>
  <si>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</si>
  <si>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</si>
  <si>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</si>
  <si>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</si>
  <si>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</si>
  <si>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</si>
  <si>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</si>
  <si>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</si>
  <si>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</si>
  <si>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</si>
  <si>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</si>
  <si>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</si>
  <si>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</si>
  <si>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</si>
  <si>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</si>
  <si>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</si>
  <si>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</si>
  <si>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</si>
  <si>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</si>
  <si>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</si>
  <si>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</si>
  <si>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</si>
  <si>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</si>
  <si>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</si>
  <si>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</si>
  <si>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</si>
  <si>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</si>
  <si>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</si>
  <si>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</si>
  <si>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</si>
  <si>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</si>
  <si>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</si>
  <si>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</si>
  <si>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</si>
  <si>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</si>
  <si>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</si>
  <si>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</si>
  <si>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</si>
  <si>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</si>
  <si>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</si>
  <si>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</si>
  <si>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</si>
  <si>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</si>
  <si>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</si>
  <si>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</si>
  <si>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</si>
  <si>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</si>
  <si>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</si>
  <si>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</si>
  <si>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</si>
  <si>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</si>
  <si>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</si>
  <si>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</si>
  <si>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</si>
  <si>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</si>
  <si>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</si>
  <si>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</si>
  <si>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</si>
  <si>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</si>
  <si>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</si>
  <si>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</si>
  <si>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</si>
  <si>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</si>
  <si>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</si>
  <si>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</si>
  <si>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</si>
  <si>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</si>
  <si>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</si>
  <si>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</si>
  <si>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</si>
  <si>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</si>
  <si>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</si>
  <si>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</si>
  <si>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</si>
  <si>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</si>
  <si>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</si>
  <si>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</si>
  <si>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</si>
  <si>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</si>
  <si>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</si>
  <si>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</si>
  <si>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</si>
  <si>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</si>
  <si>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</si>
  <si>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</si>
  <si>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</si>
  <si>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</si>
  <si>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</si>
  <si>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</si>
  <si>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</si>
  <si>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</si>
  <si>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</si>
  <si>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</si>
  <si>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</si>
  <si>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</si>
  <si>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</si>
  <si>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</si>
  <si>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</si>
  <si>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</si>
  <si>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</si>
  <si>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</si>
  <si>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</si>
  <si>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</si>
  <si>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</si>
  <si>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</si>
  <si>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</si>
  <si>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</si>
  <si>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</si>
  <si>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</si>
  <si>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</si>
  <si>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</si>
  <si>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</si>
  <si>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</si>
  <si>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</si>
  <si>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</si>
  <si>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</si>
  <si>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</si>
  <si>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</si>
  <si>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</si>
  <si>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</si>
  <si>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</si>
  <si>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</si>
  <si>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</si>
  <si>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</si>
  <si>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</si>
  <si>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</si>
  <si>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</si>
  <si>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</si>
  <si>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</si>
  <si>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</si>
  <si>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</si>
  <si>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</si>
  <si>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</si>
  <si>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</si>
  <si>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</si>
  <si>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</si>
  <si>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</si>
  <si>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</si>
  <si>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</si>
  <si>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</si>
  <si>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</si>
  <si>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</si>
  <si>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</si>
  <si>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</si>
  <si>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</si>
  <si>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</si>
  <si>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</si>
  <si>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</si>
  <si>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</si>
  <si>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</si>
  <si>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</si>
  <si>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</si>
  <si>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</si>
  <si>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</si>
  <si>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</si>
  <si>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</si>
  <si>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</si>
  <si>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</si>
  <si>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</si>
  <si>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</si>
  <si>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</si>
  <si>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</si>
  <si>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</si>
  <si>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</si>
  <si>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</si>
  <si>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</si>
  <si>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</si>
  <si>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</si>
  <si>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</si>
  <si>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</si>
  <si>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</si>
  <si>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</si>
  <si>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</si>
  <si>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</si>
  <si>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</si>
  <si>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</si>
  <si>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</si>
  <si>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</si>
  <si>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</si>
  <si>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</si>
  <si>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</si>
  <si>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</si>
  <si>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</si>
  <si>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</si>
  <si>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</si>
  <si>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</si>
  <si>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</si>
  <si>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</si>
  <si>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</si>
  <si>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</si>
  <si>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</si>
  <si>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</si>
  <si>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</si>
  <si>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</si>
  <si>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</si>
  <si>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</si>
  <si>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</si>
  <si>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</si>
  <si>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</si>
  <si>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</si>
  <si>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</si>
  <si>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</si>
  <si>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</si>
  <si>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</si>
  <si>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</si>
  <si>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</si>
  <si>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</si>
  <si>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</si>
  <si>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</si>
  <si>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</si>
  <si>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</si>
  <si>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</si>
  <si>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</si>
  <si>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</si>
  <si>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</si>
  <si>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</si>
  <si>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</si>
  <si>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</si>
  <si>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</si>
  <si>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</si>
  <si>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</si>
  <si>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</si>
  <si>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</si>
  <si>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</si>
  <si>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</si>
  <si>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</si>
  <si>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</si>
  <si>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</si>
  <si>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</si>
  <si>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</si>
  <si>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</si>
  <si>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</si>
  <si>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</si>
  <si>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</si>
  <si>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</si>
  <si>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</si>
  <si>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</si>
  <si>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</si>
  <si>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</si>
  <si>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</si>
  <si>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</si>
  <si>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</si>
  <si>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</si>
  <si>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</si>
  <si>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</si>
  <si>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</si>
  <si>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</si>
  <si>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</si>
  <si>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</si>
  <si>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</si>
  <si>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</si>
  <si>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</si>
  <si>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</si>
  <si>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</si>
  <si>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</si>
  <si>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</si>
  <si>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</si>
  <si>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</si>
  <si>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</si>
  <si>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</si>
  <si>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</si>
  <si>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</si>
  <si>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</si>
  <si>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</si>
  <si>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</si>
  <si>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</si>
  <si>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</si>
  <si>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</si>
  <si>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</si>
  <si>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</si>
  <si>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</si>
  <si>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</si>
  <si>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</si>
  <si>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</si>
  <si>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</si>
  <si>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</si>
  <si>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</si>
  <si>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</si>
  <si>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</si>
  <si>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</si>
  <si>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</si>
  <si>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</si>
  <si>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</si>
  <si>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</si>
  <si>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</si>
  <si>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</si>
  <si>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</si>
  <si>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</si>
  <si>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</si>
  <si>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</si>
  <si>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</si>
  <si>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</si>
  <si>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</si>
  <si>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</si>
  <si>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</si>
  <si>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</si>
  <si>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</si>
  <si>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</si>
  <si>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</si>
  <si>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</si>
  <si>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</si>
  <si>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</si>
  <si>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</si>
  <si>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</si>
  <si>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</si>
  <si>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</si>
  <si>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</si>
  <si>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</si>
  <si>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</si>
  <si>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</si>
  <si>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</si>
  <si>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</si>
  <si>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</si>
  <si>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</si>
  <si>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</si>
  <si>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</si>
  <si>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</si>
  <si>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</si>
  <si>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</si>
  <si>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</si>
  <si>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</si>
  <si>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</si>
  <si>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</si>
  <si>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</si>
  <si>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</si>
  <si>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</si>
  <si>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</si>
  <si>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</si>
  <si>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</si>
  <si>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</si>
  <si>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</si>
  <si>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</si>
  <si>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</si>
  <si>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</si>
  <si>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</si>
  <si>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</si>
  <si>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</si>
  <si>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</si>
  <si>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</si>
  <si>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</si>
  <si>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</si>
  <si>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</si>
  <si>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</si>
  <si>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</si>
  <si>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</si>
  <si>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</si>
  <si>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</si>
  <si>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</si>
  <si>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</si>
  <si>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</si>
  <si>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</si>
  <si>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</si>
  <si>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</si>
  <si>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</si>
  <si>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</si>
  <si>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</si>
  <si>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</si>
  <si>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</si>
  <si>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</si>
  <si>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</si>
  <si>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</si>
  <si>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</si>
  <si>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</si>
  <si>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</si>
  <si>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</si>
  <si>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</si>
  <si>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</si>
  <si>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</si>
  <si>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</si>
  <si>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</si>
  <si>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</si>
  <si>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</si>
  <si>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</si>
  <si>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</si>
  <si>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</si>
  <si>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</si>
  <si>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</si>
  <si>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</si>
  <si>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</si>
  <si>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</si>
  <si>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</si>
  <si>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</si>
  <si>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</si>
  <si>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</si>
  <si>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</si>
  <si>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</si>
  <si>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</si>
  <si>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</si>
  <si>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</si>
  <si>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</si>
  <si>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</si>
  <si>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</si>
  <si>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</si>
  <si>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</si>
  <si>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</si>
  <si>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</si>
  <si>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</si>
  <si>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</si>
  <si>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</si>
  <si>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</si>
  <si>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</si>
  <si>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</si>
  <si>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</si>
  <si>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</si>
  <si>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</si>
  <si>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</si>
  <si>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</si>
  <si>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</si>
  <si>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</si>
  <si>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</si>
  <si>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</si>
  <si>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</si>
  <si>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</si>
  <si>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</si>
  <si>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</si>
  <si>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</si>
  <si>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</si>
  <si>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</si>
  <si>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</si>
  <si>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</si>
  <si>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</si>
  <si>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</si>
  <si>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</si>
  <si>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</si>
  <si>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</si>
  <si>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</si>
  <si>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</si>
  <si>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</si>
  <si>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</si>
  <si>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</si>
  <si>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</si>
  <si>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</si>
  <si>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</si>
  <si>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</si>
  <si>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</si>
  <si>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</si>
  <si>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</si>
  <si>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</si>
  <si>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</si>
  <si>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</si>
  <si>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</si>
  <si>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</si>
  <si>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</si>
  <si>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</si>
  <si>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</si>
  <si>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</si>
  <si>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</si>
  <si>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</si>
  <si>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</si>
  <si>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</si>
  <si>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</si>
  <si>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</si>
  <si>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</si>
  <si>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</si>
  <si>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</si>
  <si>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</si>
  <si>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</si>
  <si>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</si>
  <si>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</si>
  <si>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</si>
  <si>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</si>
  <si>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</si>
  <si>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</si>
  <si>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</si>
  <si>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</si>
  <si>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</si>
  <si>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</si>
  <si>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</si>
  <si>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</si>
  <si>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</si>
  <si>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</si>
  <si>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</si>
  <si>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</si>
  <si>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</si>
  <si>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</si>
  <si>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</si>
  <si>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</si>
  <si>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</si>
  <si>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</si>
  <si>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</si>
  <si>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</si>
  <si>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</si>
  <si>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</si>
  <si>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</si>
  <si>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</si>
  <si>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</si>
  <si>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</si>
  <si>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</si>
  <si>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</si>
  <si>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</si>
  <si>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</si>
  <si>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</si>
  <si>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</si>
  <si>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</si>
  <si>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</si>
  <si>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</si>
  <si>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</si>
  <si>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</si>
  <si>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</si>
  <si>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</si>
  <si>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</si>
  <si>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</si>
  <si>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</si>
  <si>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</si>
  <si>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</si>
  <si>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</si>
  <si>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</si>
  <si>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</si>
  <si>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</si>
  <si>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</si>
  <si>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</si>
  <si>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</si>
  <si>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</si>
  <si>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</si>
  <si>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</si>
  <si>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</si>
  <si>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</si>
  <si>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</si>
  <si>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</si>
  <si>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</si>
  <si>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</si>
  <si>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</si>
  <si>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</si>
  <si>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</si>
  <si>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</si>
  <si>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</si>
  <si>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</si>
  <si>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</si>
  <si>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</si>
  <si>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</si>
  <si>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</si>
  <si>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</si>
  <si>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</si>
  <si>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</si>
  <si>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</si>
  <si>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</si>
  <si>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</si>
  <si>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</si>
  <si>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</si>
  <si>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</si>
  <si>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</si>
  <si>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</si>
  <si>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</si>
  <si>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</si>
  <si>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</si>
  <si>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</si>
  <si>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</si>
  <si>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</si>
  <si>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</si>
  <si>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</si>
  <si>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</si>
  <si>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</si>
  <si>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</si>
  <si>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</si>
  <si>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</si>
  <si>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</si>
  <si>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</si>
  <si>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</si>
  <si>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</si>
  <si>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</si>
  <si>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</si>
  <si>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</si>
  <si>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</si>
  <si>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</si>
  <si>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</si>
  <si>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</si>
  <si>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</si>
  <si>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</si>
  <si>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</si>
  <si>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</si>
  <si>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</si>
  <si>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</si>
  <si>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</si>
  <si>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</si>
  <si>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</si>
  <si>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</si>
  <si>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</si>
  <si>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</si>
  <si>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</si>
  <si>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</si>
  <si>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</si>
  <si>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</si>
  <si>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</si>
  <si>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</si>
  <si>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</si>
  <si>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</si>
  <si>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</si>
  <si>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</si>
  <si>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</si>
  <si>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</si>
  <si>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</si>
  <si>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</si>
  <si>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</si>
  <si>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</si>
  <si>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</si>
  <si>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</si>
  <si>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</si>
  <si>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</si>
  <si>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</si>
  <si>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</si>
  <si>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</si>
  <si>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</si>
  <si>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</si>
  <si>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</si>
  <si>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</si>
  <si>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</si>
  <si>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</si>
  <si>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</si>
  <si>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</si>
  <si>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</si>
  <si>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</si>
  <si>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</si>
  <si>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</si>
  <si>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</si>
  <si>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</si>
  <si>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</si>
  <si>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</si>
  <si>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</si>
  <si>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</si>
  <si>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</si>
  <si>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</si>
  <si>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</si>
  <si>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</si>
  <si>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</si>
  <si>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</si>
  <si>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</si>
  <si>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</si>
  <si>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</si>
  <si>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</si>
  <si>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</si>
  <si>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</si>
  <si>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</si>
  <si>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</si>
  <si>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</si>
  <si>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</si>
  <si>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</si>
  <si>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</si>
  <si>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</si>
  <si>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</si>
  <si>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</si>
  <si>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</si>
  <si>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</si>
  <si>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</si>
  <si>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</si>
  <si>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</si>
  <si>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</si>
  <si>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</si>
  <si>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</si>
  <si>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</si>
  <si>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</si>
  <si>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</si>
  <si>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</si>
  <si>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</si>
  <si>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</si>
  <si>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</si>
  <si>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</si>
  <si>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</si>
  <si>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</si>
  <si>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</si>
  <si>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</si>
  <si>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</si>
  <si>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</si>
  <si>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</si>
  <si>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</si>
  <si>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</si>
  <si>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</si>
  <si>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</si>
  <si>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</si>
  <si>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</si>
  <si>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</si>
  <si>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</si>
  <si>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</si>
  <si>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</si>
  <si>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</si>
  <si>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</si>
  <si>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</si>
  <si>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</si>
  <si>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</si>
  <si>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</si>
  <si>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</si>
  <si>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</si>
  <si>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</si>
  <si>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</si>
  <si>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</si>
  <si>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</si>
  <si>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</si>
  <si>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</si>
  <si>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</si>
  <si>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</si>
  <si>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</si>
  <si>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</si>
  <si>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</si>
  <si>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</si>
  <si>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</si>
  <si>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</si>
  <si>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</si>
  <si>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</si>
  <si>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</si>
  <si>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</si>
  <si>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</si>
  <si>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</si>
  <si>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</si>
  <si>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</si>
  <si>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</si>
  <si>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</si>
  <si>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</si>
  <si>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</si>
  <si>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</si>
  <si>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</si>
  <si>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</si>
  <si>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</si>
  <si>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</si>
  <si>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</si>
  <si>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</si>
  <si>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</si>
  <si>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</si>
  <si>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</si>
  <si>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</si>
  <si>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</si>
  <si>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</si>
  <si>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</si>
  <si>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</si>
  <si>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</si>
  <si>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</si>
  <si>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</si>
  <si>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</si>
  <si>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</si>
  <si>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</si>
  <si>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</si>
  <si>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</si>
  <si>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</si>
  <si>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</si>
  <si>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</si>
  <si>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</si>
  <si>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</si>
  <si>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</si>
  <si>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</si>
  <si>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</si>
  <si>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</si>
  <si>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</si>
  <si>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</si>
  <si>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</si>
  <si>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</si>
  <si>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</si>
  <si>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</si>
  <si>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</si>
  <si>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</si>
  <si>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</si>
  <si>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</si>
  <si>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</si>
  <si>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</si>
  <si>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</si>
  <si>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</si>
  <si>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</si>
  <si>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</si>
  <si>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</si>
  <si>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</si>
  <si>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</si>
  <si>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</si>
  <si>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</si>
  <si>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</si>
  <si>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</si>
  <si>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</si>
  <si>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</si>
  <si>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</si>
  <si>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</si>
  <si>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</si>
  <si>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</si>
  <si>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</si>
  <si>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</si>
  <si>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</si>
  <si>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</si>
  <si>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</si>
  <si>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</si>
  <si>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</si>
  <si>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</si>
  <si>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</si>
  <si>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</si>
  <si>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</si>
  <si>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</si>
  <si>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</si>
  <si>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</si>
  <si>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</si>
  <si>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</si>
  <si>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</si>
  <si>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</si>
  <si>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</si>
  <si>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</si>
  <si>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</si>
  <si>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</si>
  <si>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</si>
  <si>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</si>
  <si>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</si>
  <si>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</si>
  <si>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</si>
  <si>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</si>
  <si>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</si>
  <si>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</si>
  <si>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</si>
  <si>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</si>
  <si>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</si>
  <si>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</si>
  <si>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</si>
  <si>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</si>
  <si>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</si>
  <si>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</si>
  <si>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</si>
  <si>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</si>
  <si>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</si>
  <si>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</si>
  <si>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</si>
  <si>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</si>
  <si>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</si>
  <si>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</si>
  <si>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</si>
  <si>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</si>
  <si>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</si>
  <si>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</si>
  <si>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</si>
  <si>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</si>
  <si>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</si>
  <si>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</si>
  <si>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</si>
  <si>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</si>
  <si>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</si>
  <si>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</si>
  <si>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</si>
  <si>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</si>
  <si>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</si>
  <si>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</si>
  <si>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</si>
  <si>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</si>
  <si>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</si>
  <si>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</si>
  <si>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</si>
  <si>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</si>
  <si>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</si>
  <si>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</si>
  <si>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</si>
  <si>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</si>
  <si>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</si>
  <si>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</si>
  <si>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</si>
  <si>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</si>
  <si>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</si>
  <si>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</si>
  <si>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</si>
  <si>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</si>
  <si>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</si>
  <si>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</si>
  <si>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</si>
  <si>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</si>
  <si>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</si>
  <si>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</si>
  <si>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</si>
  <si>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</si>
  <si>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</si>
  <si>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</si>
  <si>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</si>
  <si>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</si>
  <si>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</si>
  <si>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</si>
  <si>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</si>
  <si>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</si>
  <si>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</si>
  <si>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</si>
  <si>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</si>
  <si>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</si>
  <si>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</si>
  <si>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</si>
  <si>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</si>
  <si>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</si>
  <si>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</si>
  <si>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</si>
  <si>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</si>
  <si>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</si>
  <si>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</si>
  <si>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</si>
  <si>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</si>
  <si>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</si>
  <si>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</si>
  <si>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</si>
  <si>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</si>
  <si>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</si>
  <si>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</si>
  <si>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</si>
  <si>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</si>
  <si>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</si>
  <si>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</si>
  <si>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</si>
  <si>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</si>
  <si>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</si>
  <si>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</si>
  <si>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</si>
  <si>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</si>
  <si>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</si>
  <si>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</si>
  <si>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</si>
  <si>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</si>
  <si>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</si>
  <si>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</si>
  <si>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</si>
  <si>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</si>
  <si>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</si>
  <si>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</si>
  <si>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</si>
  <si>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</si>
  <si>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</si>
  <si>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</si>
  <si>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</si>
  <si>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</si>
  <si>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</si>
  <si>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</si>
  <si>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</si>
  <si>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</si>
  <si>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</si>
  <si>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</si>
  <si>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</si>
  <si>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</si>
  <si>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</si>
  <si>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</si>
  <si>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</si>
  <si>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</si>
  <si>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</si>
  <si>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</si>
  <si>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</si>
  <si>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</si>
  <si>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</si>
  <si>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</si>
  <si>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</si>
  <si>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</si>
  <si>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</si>
  <si>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</si>
  <si>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</si>
  <si>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</si>
  <si>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</si>
  <si>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</si>
  <si>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</si>
  <si>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</si>
  <si>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</si>
  <si>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</si>
  <si>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</si>
  <si>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</si>
  <si>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</si>
  <si>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</si>
  <si>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</si>
  <si>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</si>
  <si>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</si>
  <si>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</si>
  <si>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</si>
  <si>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</si>
  <si>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</si>
  <si>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</si>
  <si>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</si>
  <si>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</si>
  <si>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</si>
  <si>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</si>
  <si>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</si>
  <si>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</si>
  <si>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</si>
  <si>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</si>
  <si>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</si>
  <si>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</si>
  <si>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</si>
  <si>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</si>
  <si>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</si>
  <si>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</si>
  <si>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</si>
  <si>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</si>
  <si>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</si>
  <si>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</si>
  <si>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</si>
  <si>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</si>
  <si>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</si>
  <si>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</si>
  <si>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</si>
  <si>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</si>
  <si>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</si>
  <si>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</si>
  <si>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</si>
  <si>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</si>
  <si>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</si>
  <si>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</si>
  <si>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</si>
  <si>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</si>
  <si>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</si>
  <si>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</si>
  <si>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</si>
  <si>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</si>
  <si>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</si>
  <si>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</si>
  <si>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</si>
  <si>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</si>
  <si>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</si>
  <si>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</si>
  <si>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</si>
  <si>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</si>
  <si>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</si>
  <si>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</si>
  <si>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</si>
  <si>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</si>
  <si>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</si>
  <si>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</si>
  <si>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</si>
  <si>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</si>
  <si>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</si>
  <si>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</si>
  <si>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</si>
  <si>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</si>
  <si>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</si>
  <si>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</si>
  <si>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</si>
  <si>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</si>
  <si>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</si>
  <si>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</si>
  <si>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</si>
  <si>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</si>
  <si>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</si>
  <si>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</si>
  <si>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</si>
  <si>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</si>
  <si>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</si>
  <si>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</si>
  <si>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</si>
  <si>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</si>
  <si>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</si>
  <si>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</si>
  <si>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</si>
  <si>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</si>
  <si>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</si>
  <si>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</si>
  <si>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</si>
  <si>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</si>
  <si>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</si>
  <si>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</si>
  <si>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</si>
  <si>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</si>
  <si>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</si>
  <si>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</si>
  <si>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</si>
  <si>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</si>
  <si>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</si>
  <si>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</si>
  <si>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</si>
  <si>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</si>
  <si>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</si>
  <si>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</si>
  <si>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</si>
  <si>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</si>
  <si>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</si>
  <si>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</si>
  <si>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</si>
  <si>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</si>
  <si>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</si>
  <si>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</si>
  <si>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</si>
  <si>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</si>
  <si>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</si>
  <si>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</si>
  <si>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</si>
  <si>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</si>
  <si>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</si>
  <si>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</si>
  <si>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</si>
  <si>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</si>
  <si>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</si>
  <si>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</si>
  <si>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</si>
  <si>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</si>
  <si>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</si>
  <si>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</si>
  <si>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</si>
  <si>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</si>
  <si>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</si>
  <si>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</si>
  <si>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</si>
  <si>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</si>
  <si>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</si>
  <si>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</si>
  <si>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</si>
  <si>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</si>
  <si>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</si>
  <si>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</si>
  <si>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</si>
  <si>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</si>
  <si>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</si>
  <si>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</si>
  <si>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</si>
  <si>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</si>
  <si>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</si>
  <si>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</si>
  <si>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</si>
  <si>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</si>
  <si>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</si>
  <si>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</si>
  <si>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</si>
  <si>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</si>
  <si>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</si>
  <si>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</si>
  <si>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</si>
  <si>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</si>
  <si>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</si>
  <si>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</si>
  <si>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</si>
  <si>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</si>
  <si>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</si>
  <si>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</si>
  <si>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</si>
  <si>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</si>
  <si>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</si>
  <si>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</si>
  <si>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</si>
  <si>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</si>
  <si>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</si>
  <si>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</si>
  <si>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</si>
  <si>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</si>
  <si>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</si>
  <si>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</si>
  <si>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</si>
  <si>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</si>
  <si>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</si>
  <si>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</si>
  <si>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</si>
  <si>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</si>
  <si>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</si>
  <si>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</si>
  <si>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</si>
  <si>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</si>
  <si>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</si>
  <si>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</si>
  <si>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</si>
  <si>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</si>
  <si>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</si>
  <si>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</si>
  <si>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</si>
  <si>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</si>
  <si>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</si>
  <si>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</si>
  <si>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</si>
  <si>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</si>
  <si>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</si>
  <si>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</si>
  <si>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</si>
  <si>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</si>
  <si>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</si>
  <si>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</si>
  <si>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</si>
  <si>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</si>
  <si>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</si>
  <si>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</si>
  <si>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</si>
  <si>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</si>
  <si>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</si>
  <si>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</si>
  <si>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</si>
  <si>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</si>
  <si>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</si>
  <si>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</si>
  <si>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</si>
  <si>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</si>
  <si>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</si>
  <si>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</si>
  <si>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</si>
  <si>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</si>
  <si>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</si>
  <si>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</si>
  <si>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</si>
  <si>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</si>
  <si>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</si>
  <si>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</si>
  <si>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</si>
  <si>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</si>
  <si>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</si>
  <si>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</si>
  <si>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</si>
  <si>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</si>
  <si>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</si>
  <si>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</si>
  <si>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</si>
  <si>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</si>
  <si>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</si>
  <si>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</si>
  <si>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</si>
  <si>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</si>
  <si>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</si>
  <si>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</si>
  <si>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</si>
  <si>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</si>
  <si>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</si>
  <si>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</si>
  <si>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</si>
  <si>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</si>
  <si>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</si>
  <si>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</si>
  <si>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</si>
  <si>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</si>
  <si>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</si>
  <si>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</si>
  <si>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</si>
  <si>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</si>
  <si>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</si>
  <si>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</si>
  <si>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</si>
  <si>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</si>
  <si>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</si>
  <si>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</si>
  <si>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</si>
  <si>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</si>
  <si>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</si>
  <si>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</si>
  <si>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</si>
  <si>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</si>
  <si>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</si>
  <si>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</si>
  <si>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</si>
  <si>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</si>
  <si>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</si>
  <si>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</si>
  <si>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</si>
  <si>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</si>
  <si>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</si>
  <si>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</si>
  <si>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</si>
  <si>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</si>
  <si>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</si>
  <si>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</si>
  <si>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</si>
  <si>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</si>
  <si>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</si>
  <si>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</si>
  <si>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</si>
  <si>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</si>
  <si>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</si>
  <si>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</si>
  <si>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</si>
  <si>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</si>
  <si>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</si>
  <si>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</si>
  <si>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</si>
  <si>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</si>
  <si>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</si>
  <si>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</si>
  <si>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</si>
  <si>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</si>
  <si>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</si>
  <si>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</si>
  <si>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</si>
  <si>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</si>
  <si>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</si>
  <si>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</si>
  <si>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</si>
  <si>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</si>
  <si>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</si>
  <si>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</si>
  <si>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</si>
  <si>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</si>
  <si>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</si>
  <si>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</si>
  <si>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</si>
  <si>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</si>
  <si>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</si>
  <si>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</si>
  <si>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</si>
  <si>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</si>
  <si>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</si>
  <si>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</si>
  <si>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</si>
  <si>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</si>
  <si>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</si>
  <si>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</si>
  <si>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</si>
  <si>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</si>
  <si>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</si>
  <si>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</si>
  <si>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</si>
  <si>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</si>
  <si>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</si>
  <si>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</si>
  <si>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</si>
  <si>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</si>
  <si>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</si>
  <si>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</si>
  <si>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</si>
  <si>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</si>
  <si>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</si>
  <si>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</si>
  <si>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</si>
  <si>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</si>
  <si>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</si>
  <si>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</si>
  <si>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</si>
  <si>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</si>
  <si>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</si>
  <si>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</si>
  <si>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</si>
  <si>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</si>
  <si>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</si>
  <si>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</si>
  <si>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</si>
  <si>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</si>
  <si>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</si>
  <si>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</si>
  <si>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</si>
  <si>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</si>
  <si>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</si>
  <si>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</si>
  <si>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</si>
  <si>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</si>
  <si>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</si>
  <si>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</si>
  <si>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</si>
  <si>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</si>
  <si>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</si>
  <si>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</si>
  <si>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</si>
  <si>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</si>
  <si>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</si>
  <si>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</si>
  <si>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</si>
  <si>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</si>
  <si>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</si>
  <si>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</si>
  <si>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</si>
  <si>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</si>
  <si>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</si>
  <si>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</si>
  <si>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</si>
  <si>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</si>
  <si>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</si>
  <si>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</si>
  <si>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</si>
  <si>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</si>
  <si>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</si>
  <si>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</si>
  <si>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</si>
  <si>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</si>
  <si>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</si>
  <si>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</si>
  <si>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</si>
  <si>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</si>
  <si>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</si>
  <si>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</si>
  <si>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</si>
  <si>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</si>
  <si>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</si>
  <si>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</si>
  <si>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</si>
  <si>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</si>
  <si>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</si>
  <si>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</si>
  <si>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</si>
  <si>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</si>
  <si>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</si>
  <si>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</si>
  <si>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</si>
  <si>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</si>
  <si>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</si>
  <si>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</si>
  <si>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</si>
  <si>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</si>
  <si>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</si>
  <si>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</si>
  <si>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</si>
  <si>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</si>
  <si>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</si>
  <si>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</si>
  <si>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</si>
  <si>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</si>
  <si>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</si>
  <si>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</si>
  <si>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</si>
  <si>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</si>
  <si>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</si>
  <si>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</si>
  <si>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</si>
  <si>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</si>
  <si>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</si>
  <si>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</si>
  <si>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</si>
  <si>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</si>
  <si>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</si>
  <si>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</si>
  <si>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</si>
  <si>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</si>
  <si>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</si>
  <si>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</si>
  <si>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</si>
  <si>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</si>
  <si>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</si>
  <si>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</si>
  <si>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</si>
  <si>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</si>
  <si>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</si>
  <si>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</si>
  <si>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</si>
  <si>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</si>
  <si>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</si>
  <si>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</si>
  <si>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</si>
  <si>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</si>
  <si>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</si>
  <si>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</si>
  <si>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</si>
  <si>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</si>
  <si>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</si>
  <si>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</si>
  <si>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</si>
  <si>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</si>
  <si>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</si>
  <si>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</si>
  <si>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</si>
  <si>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</si>
  <si>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</si>
  <si>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</si>
  <si>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</si>
  <si>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</si>
  <si>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</si>
  <si>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</si>
  <si>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</si>
  <si>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</si>
  <si>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</si>
  <si>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</si>
  <si>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</si>
  <si>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</si>
  <si>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</si>
  <si>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</si>
  <si>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</si>
  <si>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</si>
  <si>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</si>
  <si>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</si>
  <si>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</si>
  <si>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</si>
  <si>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</si>
  <si>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</si>
  <si>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</si>
  <si>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</si>
  <si>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</si>
  <si>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</si>
  <si>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</si>
  <si>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</si>
  <si>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</si>
  <si>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</si>
  <si>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</si>
  <si>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</si>
  <si>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</si>
  <si>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</si>
  <si>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</si>
  <si>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</si>
  <si>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</si>
  <si>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</si>
  <si>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</si>
  <si>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</si>
  <si>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</si>
  <si>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</si>
  <si>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</si>
  <si>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</si>
  <si>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</si>
  <si>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</si>
  <si>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</si>
  <si>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</si>
  <si>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</si>
  <si>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</si>
  <si>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</si>
  <si>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</si>
  <si>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</si>
  <si>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</si>
  <si>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</si>
  <si>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</si>
  <si>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</si>
  <si>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</si>
  <si>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</si>
  <si>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</si>
  <si>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</si>
  <si>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</si>
  <si>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</si>
  <si>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</si>
  <si>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</si>
  <si>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</si>
  <si>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</si>
  <si>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</si>
  <si>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</si>
  <si>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</si>
  <si>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</si>
  <si>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</si>
  <si>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</si>
  <si>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</si>
  <si>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</si>
  <si>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</si>
  <si>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</si>
  <si>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</si>
  <si>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</si>
  <si>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</si>
  <si>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</si>
  <si>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</si>
  <si>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</si>
  <si>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</si>
  <si>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</si>
  <si>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</si>
  <si>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</si>
  <si>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</si>
  <si>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</si>
  <si>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</si>
  <si>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</si>
  <si>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</si>
  <si>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</si>
  <si>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</si>
  <si>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</si>
  <si>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</si>
  <si>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</si>
  <si>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</si>
  <si>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</si>
  <si>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</si>
  <si>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</si>
  <si>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</si>
  <si>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</si>
  <si>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</si>
  <si>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</si>
  <si>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</si>
  <si>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</si>
  <si>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</si>
  <si>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</si>
  <si>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</si>
  <si>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</si>
  <si>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</si>
  <si>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</si>
  <si>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</si>
  <si>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</si>
  <si>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</si>
  <si>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</si>
  <si>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</si>
  <si>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</si>
  <si>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</si>
  <si>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</si>
  <si>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</si>
  <si>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</si>
  <si>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</si>
  <si>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</si>
  <si>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</si>
  <si>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</si>
  <si>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</si>
  <si>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</si>
  <si>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</si>
  <si>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</si>
  <si>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</si>
  <si>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</si>
  <si>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</si>
  <si>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</si>
  <si>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</si>
  <si>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</si>
  <si>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</si>
  <si>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</si>
  <si>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</si>
  <si>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</si>
  <si>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</si>
  <si>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</si>
  <si>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</si>
  <si>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</si>
  <si>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</si>
  <si>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</si>
  <si>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</si>
  <si>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</si>
  <si>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</si>
  <si>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</si>
  <si>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</si>
  <si>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</si>
  <si>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</si>
  <si>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</si>
  <si>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</si>
  <si>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</si>
  <si>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</si>
  <si>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</si>
  <si>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</si>
  <si>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</si>
  <si>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</si>
  <si>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</si>
  <si>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</si>
  <si>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</si>
  <si>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</si>
  <si>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</si>
  <si>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</si>
  <si>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</si>
  <si>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</si>
  <si>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</si>
  <si>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</si>
  <si>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</si>
  <si>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</si>
  <si>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</si>
  <si>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</si>
  <si>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</si>
  <si>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</si>
  <si>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</si>
  <si>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</si>
  <si>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</si>
  <si>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</si>
  <si>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</si>
  <si>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</si>
  <si>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</si>
  <si>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</si>
  <si>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</si>
  <si>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</si>
  <si>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</si>
  <si>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</si>
  <si>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</si>
  <si>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</si>
  <si>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</si>
  <si>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</si>
  <si>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</si>
  <si>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</si>
  <si>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</si>
  <si>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</si>
  <si>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</si>
  <si>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</si>
  <si>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</si>
  <si>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</si>
  <si>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</si>
  <si>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</si>
  <si>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</si>
  <si>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</si>
  <si>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</si>
  <si>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</si>
  <si>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</si>
  <si>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</si>
  <si>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</si>
  <si>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</si>
  <si>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</si>
  <si>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</si>
  <si>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</si>
  <si>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</si>
  <si>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</si>
  <si>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</si>
  <si>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</si>
  <si>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</si>
  <si>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</si>
  <si>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</si>
  <si>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</si>
  <si>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</si>
  <si>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</si>
  <si>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</si>
  <si>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</si>
  <si>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</si>
  <si>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</si>
  <si>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</si>
  <si>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</si>
  <si>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</si>
  <si>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</si>
  <si>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</si>
  <si>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</si>
  <si>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</si>
  <si>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</si>
  <si>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</si>
  <si>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</si>
  <si>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</si>
  <si>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</si>
  <si>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</si>
  <si>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</si>
  <si>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</si>
  <si>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</si>
  <si>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</si>
  <si>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</si>
  <si>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</si>
  <si>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</si>
  <si>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</si>
  <si>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</si>
  <si>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</si>
  <si>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</si>
  <si>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</si>
  <si>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</si>
  <si>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</si>
  <si>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</si>
  <si>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</si>
  <si>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</si>
  <si>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</si>
  <si>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</si>
  <si>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</si>
  <si>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</si>
  <si>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</si>
  <si>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</si>
  <si>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</si>
  <si>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</si>
  <si>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</si>
  <si>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</si>
  <si>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</si>
  <si>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</si>
  <si>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</si>
  <si>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</si>
  <si>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</si>
  <si>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</si>
  <si>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</si>
  <si>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</si>
  <si>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</si>
  <si>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</si>
  <si>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</si>
  <si>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</si>
  <si>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</si>
  <si>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</si>
  <si>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</si>
  <si>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</si>
  <si>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</si>
  <si>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</si>
  <si>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</si>
  <si>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</si>
  <si>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</si>
  <si>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</si>
  <si>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</si>
  <si>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</si>
  <si>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</si>
  <si>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</si>
  <si>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</si>
  <si>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</si>
  <si>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</si>
  <si>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</si>
  <si>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</si>
  <si>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</si>
  <si>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</si>
  <si>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</si>
  <si>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</si>
  <si>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</si>
  <si>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</si>
  <si>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</si>
  <si>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</si>
  <si>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</si>
  <si>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</si>
  <si>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</si>
  <si>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</si>
  <si>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</si>
  <si>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</si>
  <si>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</si>
  <si>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</si>
  <si>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</si>
  <si>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</si>
  <si>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</si>
  <si>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</si>
  <si>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</si>
  <si>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</si>
  <si>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</si>
  <si>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</si>
  <si>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</si>
  <si>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</si>
  <si>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</si>
  <si>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</si>
  <si>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</si>
  <si>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</si>
  <si>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</si>
  <si>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</si>
  <si>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</si>
  <si>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</si>
  <si>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</si>
  <si>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</si>
  <si>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</si>
  <si>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</si>
  <si>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</si>
  <si>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</si>
  <si>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</si>
  <si>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</si>
  <si>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</si>
  <si>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</si>
  <si>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</si>
  <si>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</si>
  <si>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</si>
  <si>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</si>
  <si>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</si>
  <si>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</si>
  <si>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</si>
  <si>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</si>
  <si>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</si>
  <si>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</si>
  <si>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</si>
  <si>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</si>
  <si>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</si>
  <si>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</si>
  <si>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</si>
  <si>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</si>
  <si>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</si>
  <si>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</si>
  <si>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</si>
  <si>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</si>
  <si>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</si>
  <si>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</si>
  <si>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</si>
  <si>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</si>
  <si>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</si>
  <si>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</si>
  <si>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</si>
  <si>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</si>
  <si>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</si>
  <si>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</si>
  <si>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</si>
  <si>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</si>
  <si>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</si>
  <si>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</si>
  <si>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</si>
  <si>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</si>
  <si>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</si>
  <si>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</si>
  <si>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</si>
  <si>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</si>
  <si>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</si>
  <si>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</si>
  <si>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</si>
  <si>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</si>
  <si>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</si>
  <si>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</si>
  <si>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</si>
  <si>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</si>
  <si>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</si>
  <si>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</si>
  <si>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</si>
  <si>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</si>
  <si>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</si>
  <si>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</si>
  <si>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</si>
  <si>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</si>
  <si>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</si>
  <si>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</si>
  <si>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</si>
  <si>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</si>
  <si>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</si>
  <si>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</si>
  <si>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</si>
  <si>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</si>
  <si>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</si>
  <si>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</si>
  <si>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</si>
  <si>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</si>
  <si>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</si>
  <si>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</si>
  <si>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</si>
  <si>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</si>
  <si>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</si>
  <si>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</si>
  <si>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</si>
  <si>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</si>
  <si>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</si>
  <si>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</si>
  <si>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</si>
  <si>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</si>
  <si>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</si>
  <si>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</si>
  <si>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</si>
  <si>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</si>
  <si>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</si>
  <si>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</si>
  <si>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</si>
  <si>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</si>
  <si>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</si>
  <si>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</si>
  <si>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</si>
  <si>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</si>
  <si>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</si>
  <si>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</si>
  <si>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</si>
  <si>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</si>
  <si>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</si>
  <si>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</si>
  <si>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</si>
  <si>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</si>
  <si>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</si>
  <si>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</si>
  <si>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</si>
  <si>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</si>
  <si>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</si>
  <si>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</si>
  <si>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</si>
  <si>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</si>
  <si>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</si>
  <si>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</si>
  <si>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</si>
  <si>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</si>
  <si>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</si>
  <si>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</si>
  <si>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</si>
  <si>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</si>
  <si>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</si>
  <si>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</si>
  <si>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</si>
  <si>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</si>
  <si>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</si>
  <si>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</si>
  <si>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</si>
  <si>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</si>
  <si>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</si>
  <si>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</si>
  <si>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</si>
  <si>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</si>
  <si>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</si>
  <si>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</si>
  <si>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</si>
  <si>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</si>
  <si>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</si>
  <si>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</si>
  <si>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</si>
  <si>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</si>
  <si>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</si>
  <si>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</si>
  <si>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</si>
  <si>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</si>
  <si>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</si>
  <si>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</si>
  <si>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</si>
  <si>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</si>
  <si>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</si>
  <si>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</si>
  <si>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</si>
  <si>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</si>
  <si>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</si>
  <si>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</si>
  <si>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</si>
  <si>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</si>
  <si>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</si>
  <si>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</si>
  <si>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</si>
  <si>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</si>
  <si>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</si>
  <si>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</si>
  <si>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</si>
  <si>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</si>
  <si>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</si>
  <si>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</si>
  <si>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</si>
  <si>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</si>
  <si>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</si>
  <si>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</si>
  <si>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</si>
  <si>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</si>
  <si>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</si>
  <si>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</si>
  <si>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</si>
  <si>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</si>
  <si>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</si>
  <si>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</si>
  <si>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</si>
  <si>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</si>
  <si>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</si>
  <si>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</si>
  <si>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</si>
  <si>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</si>
  <si>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</si>
  <si>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</si>
  <si>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</si>
  <si>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</si>
  <si>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</si>
  <si>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</si>
  <si>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</si>
  <si>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</si>
  <si>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</si>
  <si>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</si>
  <si>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</si>
  <si>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</si>
  <si>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</si>
  <si>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</si>
  <si>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</si>
  <si>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</si>
  <si>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</si>
  <si>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</si>
  <si>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</si>
  <si>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</si>
  <si>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</si>
  <si>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</si>
  <si>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</si>
  <si>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</si>
  <si>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</si>
  <si>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</si>
  <si>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</si>
  <si>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</si>
  <si>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</si>
  <si>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</si>
  <si>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</si>
  <si>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</si>
  <si>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</si>
  <si>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</si>
  <si>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</si>
  <si>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</si>
  <si>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</si>
  <si>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</si>
  <si>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</si>
  <si>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</si>
  <si>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</si>
  <si>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</si>
  <si>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</si>
  <si>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</si>
  <si>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</si>
  <si>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</si>
  <si>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</si>
  <si>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</si>
  <si>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</si>
  <si>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</si>
  <si>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</si>
  <si>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</si>
  <si>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</si>
  <si>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</si>
  <si>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</si>
  <si>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</si>
  <si>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</si>
  <si>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</si>
  <si>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</si>
  <si>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</si>
  <si>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</si>
  <si>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</si>
  <si>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</si>
  <si>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</si>
  <si>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</si>
  <si>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</si>
  <si>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</si>
  <si>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</si>
  <si>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</si>
  <si>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</si>
  <si>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</si>
  <si>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</si>
  <si>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</si>
  <si>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</si>
  <si>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</si>
  <si>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</si>
  <si>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</si>
  <si>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</si>
  <si>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</si>
  <si>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</si>
  <si>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</si>
  <si>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</si>
  <si>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</si>
  <si>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</si>
  <si>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</si>
  <si>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</si>
  <si>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</si>
  <si>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</si>
  <si>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</si>
  <si>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</si>
  <si>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</si>
  <si>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</si>
  <si>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</si>
  <si>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</si>
  <si>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</si>
  <si>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</si>
  <si>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</si>
  <si>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</si>
  <si>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</si>
  <si>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</si>
  <si>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</si>
  <si>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</si>
  <si>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</si>
  <si>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</si>
  <si>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</si>
  <si>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</si>
  <si>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</si>
  <si>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</si>
  <si>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</si>
  <si>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</si>
  <si>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</si>
  <si>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</si>
  <si>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</si>
  <si>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</si>
  <si>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</si>
  <si>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</si>
  <si>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</si>
  <si>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</si>
  <si>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</si>
  <si>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</si>
  <si>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</si>
  <si>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</si>
  <si>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</si>
  <si>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</si>
  <si>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</si>
  <si>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</si>
  <si>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</si>
  <si>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</si>
  <si>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</si>
  <si>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</si>
  <si>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</si>
  <si>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</si>
  <si>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</si>
  <si>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</si>
  <si>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</si>
  <si>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</si>
  <si>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</si>
  <si>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</si>
  <si>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</si>
  <si>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</si>
  <si>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</si>
  <si>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</si>
  <si>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</si>
  <si>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</si>
  <si>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</si>
  <si>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</si>
  <si>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</si>
  <si>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</si>
  <si>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</si>
  <si>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</si>
  <si>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</si>
  <si>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</si>
  <si>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</si>
  <si>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</si>
  <si>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</si>
  <si>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</si>
  <si>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</si>
  <si>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</si>
  <si>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</si>
  <si>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</si>
  <si>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</si>
  <si>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</si>
  <si>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</si>
  <si>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</si>
  <si>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</si>
  <si>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</si>
  <si>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</si>
  <si>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</si>
  <si>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</si>
  <si>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</si>
  <si>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</si>
  <si>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</si>
  <si>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</si>
  <si>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</si>
  <si>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</si>
  <si>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</si>
  <si>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</si>
  <si>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</si>
  <si>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</si>
  <si>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</si>
  <si>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</si>
  <si>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</si>
  <si>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</si>
  <si>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</si>
  <si>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</si>
  <si>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</si>
  <si>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</si>
  <si>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</si>
  <si>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</si>
  <si>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</si>
  <si>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</si>
  <si>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</si>
  <si>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</si>
  <si>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</si>
  <si>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</si>
  <si>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</si>
  <si>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</si>
  <si>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</si>
  <si>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</si>
  <si>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</si>
  <si>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</si>
  <si>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</si>
  <si>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</si>
  <si>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</si>
  <si>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</si>
  <si>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</si>
  <si>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</si>
  <si>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</si>
  <si>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</si>
  <si>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</si>
  <si>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</si>
  <si>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</si>
  <si>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</si>
  <si>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</si>
  <si>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</si>
  <si>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</si>
  <si>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</si>
  <si>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</si>
  <si>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</si>
  <si>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</si>
  <si>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</si>
  <si>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</si>
  <si>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</si>
  <si>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</si>
  <si>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</si>
  <si>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</si>
  <si>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</si>
  <si>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</si>
  <si>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</si>
  <si>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</si>
  <si>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</si>
  <si>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</si>
  <si>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</si>
  <si>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</si>
  <si>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</si>
  <si>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</si>
  <si>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</si>
  <si>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</si>
  <si>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</si>
  <si>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</si>
  <si>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</si>
  <si>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</si>
  <si>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</si>
  <si>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</si>
  <si>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</si>
  <si>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</si>
  <si>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</si>
  <si>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</si>
  <si>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</si>
  <si>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</si>
  <si>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</si>
  <si>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</si>
  <si>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</si>
  <si>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</si>
  <si>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</si>
  <si>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</si>
  <si>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</si>
  <si>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</si>
  <si>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</si>
  <si>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</si>
  <si>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</si>
  <si>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</si>
  <si>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</si>
  <si>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</si>
  <si>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</si>
  <si>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</si>
  <si>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</si>
  <si>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</si>
  <si>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</si>
  <si>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</si>
  <si>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</si>
  <si>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</si>
  <si>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</si>
  <si>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</si>
  <si>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</si>
  <si>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</si>
  <si>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</si>
  <si>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</si>
  <si>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</si>
  <si>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</si>
  <si>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</si>
  <si>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</si>
  <si>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</si>
  <si>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</si>
  <si>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</si>
  <si>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</si>
  <si>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</si>
  <si>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</si>
  <si>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</si>
  <si>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</si>
  <si>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</si>
  <si>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</si>
  <si>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</si>
  <si>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</si>
  <si>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</si>
  <si>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</si>
  <si>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</si>
  <si>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</si>
  <si>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</si>
  <si>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</si>
  <si>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</si>
  <si>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</si>
  <si>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</si>
  <si>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</si>
  <si>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</si>
  <si>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</si>
  <si>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</si>
  <si>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</si>
  <si>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</si>
  <si>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</si>
  <si>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</si>
  <si>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</si>
  <si>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</si>
  <si>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</si>
  <si>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</si>
  <si>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</si>
  <si>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</si>
  <si>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</si>
  <si>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</si>
  <si>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</si>
  <si>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</si>
  <si>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</si>
  <si>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</si>
  <si>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</si>
  <si>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</si>
  <si>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</si>
  <si>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</si>
  <si>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</si>
  <si>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</si>
  <si>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</si>
  <si>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</si>
  <si>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</si>
  <si>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</si>
  <si>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</si>
  <si>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</si>
  <si>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</si>
  <si>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</si>
  <si>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</si>
  <si>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</si>
  <si>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</si>
  <si>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</si>
  <si>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</si>
  <si>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</si>
  <si>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</si>
  <si>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</si>
  <si>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</si>
  <si>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</si>
  <si>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</si>
  <si>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</si>
  <si>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</si>
  <si>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</si>
  <si>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</si>
  <si>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</si>
  <si>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</si>
  <si>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</si>
  <si>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</si>
  <si>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</si>
  <si>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</si>
  <si>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</si>
  <si>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</si>
  <si>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</si>
  <si>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</si>
  <si>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</si>
  <si>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</si>
  <si>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</si>
  <si>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</si>
  <si>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</si>
  <si>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</si>
  <si>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</si>
  <si>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</si>
  <si>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</si>
  <si>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</si>
  <si>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</si>
  <si>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</si>
  <si>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</si>
  <si>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</si>
  <si>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</si>
  <si>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</si>
  <si>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</si>
  <si>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</si>
  <si>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</si>
  <si>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</si>
  <si>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</si>
  <si>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</si>
  <si>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</si>
  <si>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</si>
  <si>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</si>
  <si>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</si>
  <si>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</si>
  <si>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</si>
  <si>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</si>
  <si>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</si>
  <si>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</si>
  <si>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</si>
  <si>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</si>
  <si>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</si>
  <si>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</si>
  <si>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</si>
  <si>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</si>
  <si>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</si>
  <si>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</si>
  <si>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</si>
  <si>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</si>
  <si>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</si>
  <si>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</si>
  <si>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</si>
  <si>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</si>
  <si>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</si>
  <si>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</si>
  <si>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</si>
  <si>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</si>
  <si>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</si>
  <si>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</si>
  <si>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</si>
  <si>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</si>
  <si>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</si>
  <si>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</si>
  <si>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</si>
  <si>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</si>
  <si>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</si>
  <si>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</si>
  <si>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</si>
  <si>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</si>
  <si>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</si>
  <si>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</si>
  <si>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</si>
  <si>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</si>
  <si>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</si>
  <si>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</si>
  <si>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</si>
  <si>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</si>
  <si>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</si>
  <si>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</si>
  <si>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</si>
  <si>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</si>
  <si>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</si>
  <si>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</si>
  <si>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</si>
  <si>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</si>
  <si>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</si>
  <si>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</si>
  <si>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</si>
  <si>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</si>
  <si>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</si>
  <si>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</si>
  <si>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</si>
  <si>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</si>
  <si>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</si>
  <si>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</si>
  <si>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</si>
  <si>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</si>
  <si>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</si>
  <si>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</si>
  <si>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</si>
  <si>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</si>
  <si>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</si>
  <si>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</si>
  <si>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</si>
  <si>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</si>
  <si>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</si>
  <si>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</si>
  <si>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</si>
  <si>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</si>
  <si>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</si>
  <si>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</si>
  <si>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</si>
  <si>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</si>
  <si>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</si>
  <si>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</si>
  <si>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</si>
  <si>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</si>
  <si>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</si>
  <si>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</si>
  <si>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</si>
  <si>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</si>
  <si>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</si>
  <si>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</si>
  <si>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</si>
  <si>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</si>
  <si>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</si>
  <si>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</si>
  <si>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</si>
  <si>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</si>
  <si>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</si>
  <si>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</si>
  <si>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</si>
  <si>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</si>
  <si>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</si>
  <si>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</si>
  <si>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</si>
  <si>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</si>
  <si>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</si>
  <si>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</si>
  <si>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</si>
  <si>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</si>
  <si>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</si>
  <si>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</si>
  <si>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</si>
  <si>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</si>
  <si>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</si>
  <si>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</si>
  <si>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</si>
  <si>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</si>
  <si>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</si>
  <si>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</si>
  <si>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</si>
  <si>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</si>
  <si>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</si>
  <si>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</si>
  <si>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</si>
  <si>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</si>
  <si>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</si>
  <si>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</si>
  <si>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</si>
  <si>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</si>
  <si>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</si>
  <si>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</si>
  <si>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</si>
  <si>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</si>
  <si>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</si>
  <si>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</si>
  <si>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</si>
  <si>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</si>
  <si>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</si>
  <si>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</si>
  <si>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</si>
  <si>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</si>
  <si>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</si>
  <si>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</si>
  <si>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</si>
  <si>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</si>
  <si>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</si>
  <si>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</si>
  <si>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</si>
  <si>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</si>
  <si>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</si>
  <si>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</si>
  <si>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</si>
  <si>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</si>
  <si>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</si>
  <si>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</si>
  <si>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</si>
  <si>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</si>
  <si>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</si>
  <si>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</si>
  <si>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</si>
  <si>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</si>
  <si>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</si>
  <si>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</si>
  <si>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</si>
  <si>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</si>
  <si>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</si>
  <si>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</si>
  <si>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</si>
  <si>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</si>
  <si>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</si>
  <si>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</si>
  <si>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</si>
  <si>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</si>
  <si>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</si>
  <si>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</si>
  <si>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</si>
  <si>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</si>
  <si>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</si>
  <si>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</si>
  <si>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</si>
  <si>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</si>
  <si>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</si>
  <si>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</si>
  <si>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</si>
  <si>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</si>
  <si>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</si>
  <si>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</si>
  <si>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</si>
  <si>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</si>
  <si>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</si>
  <si>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</si>
  <si>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</si>
  <si>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</si>
  <si>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</si>
  <si>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</si>
  <si>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</si>
  <si>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</si>
  <si>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</si>
  <si>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</si>
  <si>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</si>
  <si>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</si>
  <si>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</si>
  <si>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</si>
  <si>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</si>
  <si>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</si>
  <si>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</si>
  <si>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</si>
  <si>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</si>
  <si>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</si>
  <si>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</si>
  <si>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</si>
  <si>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</si>
  <si>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</si>
  <si>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</si>
  <si>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</si>
  <si>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</si>
  <si>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</si>
  <si>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</si>
  <si>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</si>
  <si>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</si>
  <si>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</si>
  <si>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</si>
  <si>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</si>
  <si>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</si>
  <si>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</si>
  <si>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</si>
  <si>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</si>
  <si>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</si>
  <si>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</si>
  <si>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</si>
  <si>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</si>
  <si>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</si>
  <si>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</si>
  <si>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</si>
  <si>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</si>
  <si>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</si>
  <si>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</si>
  <si>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</si>
  <si>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</si>
  <si>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</si>
  <si>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</si>
  <si>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</si>
  <si>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</si>
  <si>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</si>
  <si>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</si>
  <si>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</si>
  <si>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</si>
  <si>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</si>
  <si>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</si>
  <si>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</si>
  <si>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</si>
  <si>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</si>
  <si>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</si>
  <si>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</si>
  <si>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</si>
  <si>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</si>
  <si>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</si>
  <si>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</si>
  <si>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</si>
  <si>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</si>
  <si>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</si>
  <si>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</si>
  <si>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</si>
  <si>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</si>
  <si>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</si>
  <si>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</si>
  <si>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</si>
  <si>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</si>
  <si>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</si>
  <si>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</si>
  <si>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</si>
  <si>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</si>
  <si>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</si>
  <si>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</si>
  <si>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</si>
  <si>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</si>
  <si>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</si>
  <si>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</si>
  <si>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</si>
  <si>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</si>
  <si>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</si>
  <si>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</si>
  <si>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</si>
  <si>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</si>
  <si>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</si>
  <si>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</si>
  <si>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</si>
  <si>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</si>
  <si>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</si>
  <si>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</si>
  <si>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</si>
  <si>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</si>
  <si>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</si>
  <si>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</si>
  <si>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</si>
  <si>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</si>
  <si>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</si>
  <si>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</si>
  <si>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</si>
  <si>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</si>
  <si>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</si>
  <si>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</si>
  <si>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</si>
  <si>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</si>
  <si>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</si>
  <si>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</si>
  <si>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</si>
  <si>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</si>
  <si>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</si>
  <si>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</si>
  <si>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</si>
  <si>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</si>
  <si>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</si>
  <si>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</si>
  <si>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</si>
  <si>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</si>
  <si>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</si>
  <si>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</si>
  <si>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</si>
  <si>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</si>
  <si>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</si>
  <si>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</si>
  <si>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</si>
  <si>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</si>
  <si>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</si>
  <si>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</si>
  <si>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</si>
  <si>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</si>
  <si>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</si>
  <si>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</si>
  <si>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</si>
  <si>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</si>
  <si>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</si>
  <si>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</si>
  <si>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</si>
  <si>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</si>
  <si>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</si>
  <si>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</si>
  <si>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</si>
  <si>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</si>
  <si>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</si>
  <si>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</si>
  <si>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</si>
  <si>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</si>
  <si>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</si>
  <si>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</si>
  <si>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</si>
  <si>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</si>
  <si>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</si>
  <si>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</si>
  <si>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</si>
  <si>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</si>
  <si>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</si>
  <si>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</si>
  <si>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</si>
  <si>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</si>
  <si>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</si>
  <si>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</si>
  <si>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</si>
  <si>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</si>
  <si>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</si>
  <si>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</si>
  <si>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</si>
  <si>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</si>
  <si>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</si>
  <si>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</si>
  <si>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</si>
  <si>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</si>
  <si>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</si>
  <si>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</si>
  <si>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</si>
  <si>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</si>
  <si>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</si>
  <si>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</si>
  <si>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</si>
  <si>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</si>
  <si>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</si>
  <si>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</si>
  <si>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</si>
  <si>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</si>
  <si>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</si>
  <si>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</si>
  <si>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</si>
  <si>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</si>
  <si>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</si>
  <si>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</si>
  <si>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</si>
  <si>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</si>
  <si>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</si>
  <si>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</si>
  <si>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</si>
  <si>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</si>
  <si>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</si>
  <si>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</si>
  <si>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</si>
  <si>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</si>
  <si>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</si>
  <si>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</si>
  <si>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</si>
  <si>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</si>
  <si>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</si>
  <si>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</si>
  <si>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</si>
  <si>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</si>
  <si>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</si>
  <si>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</si>
  <si>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</si>
  <si>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</si>
  <si>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</si>
  <si>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</si>
  <si>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</si>
  <si>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</si>
  <si>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</si>
  <si>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</si>
  <si>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</si>
  <si>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</si>
  <si>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</si>
  <si>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</si>
  <si>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</si>
  <si>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</si>
  <si>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</si>
  <si>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</si>
  <si>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</si>
  <si>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</si>
  <si>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</si>
  <si>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</si>
  <si>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</si>
  <si>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</si>
  <si>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</si>
  <si>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</si>
  <si>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</si>
  <si>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</si>
  <si>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</si>
  <si>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</si>
  <si>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</si>
  <si>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</si>
  <si>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</si>
  <si>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</si>
  <si>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</si>
  <si>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</si>
  <si>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</si>
  <si>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</si>
  <si>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</si>
  <si>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</si>
  <si>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</si>
  <si>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</si>
  <si>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</si>
  <si>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</si>
  <si>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</si>
  <si>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</si>
  <si>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</si>
  <si>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</si>
  <si>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</si>
  <si>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</si>
  <si>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</si>
  <si>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</si>
  <si>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</si>
  <si>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</si>
  <si>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</si>
  <si>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</si>
  <si>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</si>
  <si>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</si>
  <si>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</si>
  <si>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</si>
  <si>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</si>
  <si>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</si>
  <si>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</si>
  <si>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</si>
  <si>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</si>
  <si>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</si>
  <si>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</si>
  <si>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</si>
  <si>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</si>
  <si>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</si>
  <si>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</si>
  <si>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</si>
  <si>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</si>
  <si>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</si>
  <si>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</si>
  <si>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</si>
  <si>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</si>
  <si>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</si>
  <si>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</si>
  <si>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</si>
  <si>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</si>
  <si>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</si>
  <si>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</si>
  <si>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</si>
  <si>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</si>
  <si>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</si>
  <si>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</si>
  <si>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</si>
  <si>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</si>
  <si>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</si>
  <si>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</si>
  <si>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</si>
  <si>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</si>
  <si>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</si>
  <si>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</si>
  <si>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</si>
  <si>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</si>
  <si>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</si>
  <si>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</si>
  <si>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</si>
  <si>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</si>
  <si>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</si>
  <si>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</si>
  <si>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</si>
  <si>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</si>
  <si>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</si>
  <si>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</si>
  <si>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</si>
  <si>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</si>
  <si>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</si>
  <si>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</si>
  <si>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</si>
  <si>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</si>
  <si>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</si>
  <si>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</si>
  <si>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</si>
  <si>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</si>
  <si>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</si>
  <si>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</si>
  <si>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</si>
  <si>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</si>
  <si>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</si>
  <si>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</si>
  <si>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</si>
  <si>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</si>
  <si>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</si>
  <si>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</si>
  <si>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</si>
  <si>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</si>
  <si>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</si>
  <si>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</si>
  <si>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</si>
  <si>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</si>
  <si>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</si>
  <si>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</si>
  <si>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</si>
  <si>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</si>
  <si>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</si>
  <si>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</si>
  <si>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</si>
  <si>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</si>
  <si>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</si>
  <si>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</si>
  <si>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</si>
  <si>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</si>
  <si>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</si>
  <si>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</si>
  <si>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</si>
  <si>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</si>
  <si>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</si>
  <si>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</si>
  <si>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</si>
  <si>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</si>
  <si>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</si>
  <si>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</si>
  <si>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</si>
  <si>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</si>
  <si>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</si>
  <si>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</si>
  <si>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</si>
  <si>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</si>
  <si>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</si>
  <si>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</si>
  <si>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</si>
  <si>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</si>
  <si>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</si>
  <si>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</si>
  <si>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</si>
  <si>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</si>
  <si>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</si>
  <si>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</si>
  <si>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</si>
  <si>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</si>
  <si>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</si>
  <si>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</si>
  <si>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</si>
  <si>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</si>
  <si>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</si>
  <si>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</si>
  <si>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</si>
  <si>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</si>
  <si>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</si>
  <si>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</si>
  <si>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</si>
  <si>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</si>
  <si>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</si>
  <si>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</si>
  <si>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</si>
  <si>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</si>
  <si>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</si>
  <si>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</si>
  <si>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</si>
  <si>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</si>
  <si>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</si>
  <si>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</si>
  <si>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</si>
  <si>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</si>
  <si>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</si>
  <si>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</si>
  <si>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</si>
  <si>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</si>
  <si>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</si>
  <si>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</si>
  <si>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</si>
  <si>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</si>
  <si>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</si>
  <si>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</si>
  <si>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</si>
  <si>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</si>
  <si>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</si>
  <si>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</si>
  <si>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</si>
  <si>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</si>
  <si>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</si>
  <si>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</si>
  <si>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</si>
  <si>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</si>
  <si>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</si>
  <si>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</si>
  <si>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</si>
  <si>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</si>
  <si>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</si>
  <si>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</si>
  <si>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</si>
  <si>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</si>
  <si>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</si>
  <si>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</si>
  <si>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</si>
  <si>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</si>
  <si>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</si>
  <si>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</si>
  <si>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</si>
  <si>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</si>
  <si>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</si>
  <si>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</si>
  <si>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</si>
  <si>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</si>
  <si>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</si>
  <si>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</si>
  <si>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</si>
  <si>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</si>
  <si>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</si>
  <si>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</si>
  <si>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</si>
  <si>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</si>
  <si>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</si>
  <si>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</si>
  <si>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</si>
  <si>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</si>
  <si>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</si>
  <si>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</si>
  <si>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</si>
  <si>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</si>
  <si>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</si>
  <si>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</si>
  <si>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</si>
  <si>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</si>
  <si>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</si>
  <si>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</si>
  <si>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</si>
  <si>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</si>
  <si>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</si>
  <si>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</si>
  <si>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</si>
  <si>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</si>
  <si>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</si>
  <si>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</si>
  <si>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</si>
  <si>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</si>
  <si>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</si>
  <si>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</si>
  <si>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</si>
  <si>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</si>
  <si>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</si>
  <si>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</si>
  <si>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</si>
  <si>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</si>
  <si>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</si>
  <si>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</si>
  <si>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</si>
  <si>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</si>
  <si>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</si>
  <si>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</si>
  <si>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</si>
  <si>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</si>
  <si>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</si>
  <si>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</si>
  <si>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</si>
  <si>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</si>
  <si>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</si>
  <si>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</si>
  <si>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</si>
  <si>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</si>
  <si>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</si>
  <si>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</si>
  <si>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</si>
  <si>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</si>
  <si>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</si>
  <si>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</si>
  <si>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</si>
  <si>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</si>
  <si>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</si>
  <si>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</si>
  <si>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</si>
  <si>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</si>
  <si>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</si>
  <si>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</si>
  <si>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</si>
  <si>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</si>
  <si>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</si>
  <si>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</si>
  <si>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</si>
  <si>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</si>
  <si>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</si>
  <si>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</si>
  <si>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</si>
  <si>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</si>
  <si>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</si>
  <si>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</si>
  <si>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</si>
  <si>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</si>
  <si>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</si>
  <si>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</si>
  <si>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</si>
  <si>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</si>
  <si>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</si>
  <si>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</si>
  <si>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</si>
  <si>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</si>
  <si>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</si>
  <si>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</si>
  <si>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</si>
  <si>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</si>
  <si>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</si>
  <si>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</si>
  <si>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</si>
  <si>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</si>
  <si>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</si>
  <si>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</si>
  <si>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</si>
  <si>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</si>
  <si>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</si>
  <si>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</si>
  <si>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</si>
  <si>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</si>
  <si>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</si>
  <si>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</si>
  <si>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</si>
  <si>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</si>
  <si>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</si>
  <si>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</si>
  <si>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</si>
  <si>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</si>
  <si>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</si>
  <si>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</si>
  <si>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</si>
  <si>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</si>
  <si>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</si>
  <si>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</si>
  <si>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</si>
  <si>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</si>
  <si>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</si>
  <si>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</si>
  <si>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</si>
  <si>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</si>
  <si>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</si>
  <si>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</si>
  <si>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</si>
  <si>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</si>
  <si>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</si>
  <si>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</si>
  <si>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</si>
  <si>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</si>
  <si>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</si>
  <si>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</si>
  <si>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</si>
  <si>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</si>
  <si>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</si>
  <si>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</si>
  <si>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</si>
  <si>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</si>
  <si>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</si>
  <si>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</si>
  <si>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</si>
  <si>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</si>
  <si>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</si>
  <si>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</si>
  <si>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</si>
  <si>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</si>
  <si>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</si>
  <si>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</si>
  <si>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</si>
  <si>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</si>
  <si>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</si>
  <si>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</si>
  <si>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</si>
  <si>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</si>
  <si>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</si>
  <si>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</si>
  <si>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</si>
  <si>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</si>
  <si>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</si>
  <si>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</si>
  <si>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</si>
  <si>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</si>
  <si>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</si>
  <si>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</si>
  <si>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</si>
  <si>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</si>
  <si>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</si>
  <si>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</si>
  <si>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</si>
  <si>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</si>
  <si>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</si>
  <si>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</si>
  <si>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</si>
  <si>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</si>
  <si>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</si>
  <si>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</si>
  <si>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</si>
  <si>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</si>
  <si>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</si>
  <si>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</si>
  <si>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</si>
  <si>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</si>
  <si>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</si>
  <si>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</si>
  <si>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</si>
  <si>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</si>
  <si>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</si>
  <si>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</si>
  <si>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</si>
  <si>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</si>
  <si>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</si>
  <si>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</si>
  <si>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</si>
  <si>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</si>
  <si>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</si>
  <si>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</si>
  <si>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</si>
  <si>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</si>
  <si>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</si>
  <si>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</si>
  <si>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</si>
  <si>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</si>
  <si>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</si>
  <si>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</si>
  <si>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</si>
  <si>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</si>
  <si>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</si>
  <si>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</si>
  <si>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</si>
  <si>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</si>
  <si>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</si>
  <si>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</si>
  <si>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</si>
  <si>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</si>
  <si>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</si>
  <si>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</si>
  <si>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</si>
  <si>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</si>
  <si>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</si>
  <si>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</si>
  <si>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</si>
  <si>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</si>
  <si>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</si>
  <si>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</si>
  <si>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</si>
  <si>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</si>
  <si>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</si>
  <si>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</si>
  <si>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</si>
  <si>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</si>
  <si>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</si>
  <si>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</si>
  <si>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</si>
  <si>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</si>
  <si>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</si>
  <si>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</si>
  <si>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</si>
  <si>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</si>
  <si>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</si>
  <si>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</si>
  <si>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</si>
  <si>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</si>
  <si>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</si>
  <si>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</si>
  <si>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</si>
  <si>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</si>
  <si>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</si>
  <si>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</si>
  <si>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</si>
  <si>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</si>
  <si>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</si>
  <si>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</si>
  <si>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</si>
  <si>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</si>
  <si>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</si>
  <si>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</si>
  <si>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</si>
  <si>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</si>
  <si>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</si>
  <si>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</si>
  <si>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</si>
  <si>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</si>
  <si>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</si>
  <si>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</si>
  <si>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</si>
  <si>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</si>
  <si>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</si>
  <si>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</si>
  <si>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</si>
  <si>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</si>
  <si>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</si>
  <si>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</si>
  <si>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</si>
  <si>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</si>
  <si>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</si>
  <si>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</si>
  <si>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</si>
  <si>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</si>
  <si>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</si>
  <si>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</si>
  <si>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</si>
  <si>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</si>
  <si>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</si>
  <si>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</si>
  <si>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</si>
  <si>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</si>
  <si>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</si>
  <si>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</si>
  <si>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</si>
  <si>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</si>
  <si>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</si>
  <si>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</si>
  <si>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</si>
  <si>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</si>
  <si>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</si>
  <si>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</si>
  <si>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</si>
  <si>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</si>
  <si>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</si>
  <si>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</si>
  <si>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</si>
  <si>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</si>
  <si>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</si>
  <si>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</si>
  <si>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</si>
  <si>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</si>
  <si>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</si>
  <si>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</si>
  <si>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</si>
  <si>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</si>
  <si>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</si>
  <si>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</si>
  <si>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</si>
  <si>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</si>
  <si>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</si>
  <si>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</si>
  <si>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</si>
  <si>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</si>
  <si>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</si>
  <si>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</si>
  <si>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</si>
  <si>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</si>
  <si>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</si>
  <si>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</si>
  <si>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</si>
  <si>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</si>
  <si>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</si>
  <si>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</si>
  <si>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</si>
  <si>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</si>
  <si>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</si>
  <si>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</si>
  <si>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</si>
  <si>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</si>
  <si>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</si>
  <si>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</si>
  <si>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</si>
  <si>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</si>
  <si>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</si>
  <si>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</si>
  <si>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</si>
  <si>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</si>
  <si>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</si>
  <si>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</si>
  <si>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</si>
  <si>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</si>
  <si>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</si>
  <si>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</si>
  <si>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</si>
  <si>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</si>
  <si>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</si>
  <si>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</si>
  <si>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</si>
  <si>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</si>
  <si>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</si>
  <si>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</si>
  <si>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</si>
  <si>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</si>
  <si>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</si>
  <si>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</si>
  <si>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</si>
  <si>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</si>
  <si>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</si>
  <si>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</si>
  <si>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</si>
  <si>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</si>
  <si>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</si>
  <si>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</si>
  <si>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</si>
  <si>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</si>
  <si>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</si>
  <si>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</si>
  <si>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</si>
  <si>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</si>
  <si>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</si>
  <si>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</si>
  <si>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</si>
  <si>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</si>
  <si>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</si>
  <si>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</si>
  <si>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</si>
  <si>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</si>
  <si>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</si>
  <si>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</si>
  <si>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</si>
  <si>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</si>
  <si>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</si>
  <si>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</si>
  <si>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</si>
  <si>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</si>
  <si>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</si>
  <si>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</si>
  <si>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</si>
  <si>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</si>
  <si>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</si>
  <si>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</si>
  <si>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</si>
  <si>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</si>
  <si>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</si>
  <si>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</si>
  <si>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</si>
  <si>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</si>
  <si>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</si>
  <si>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</si>
  <si>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</si>
  <si>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</si>
  <si>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</si>
  <si>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</si>
  <si>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</si>
  <si>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</si>
  <si>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</si>
  <si>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</si>
  <si>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</si>
  <si>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</si>
  <si>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</si>
  <si>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</si>
  <si>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</si>
  <si>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</si>
  <si>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</si>
  <si>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</si>
  <si>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</si>
  <si>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</si>
  <si>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</si>
  <si>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</si>
  <si>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</si>
  <si>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</si>
  <si>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</si>
  <si>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</si>
  <si>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</si>
  <si>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</si>
  <si>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</si>
  <si>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</si>
  <si>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</si>
  <si>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</si>
  <si>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</si>
  <si>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</si>
  <si>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</si>
  <si>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</si>
  <si>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</si>
  <si>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</si>
  <si>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</si>
  <si>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</si>
  <si>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</si>
  <si>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</si>
  <si>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</si>
  <si>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</si>
  <si>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</si>
  <si>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</si>
  <si>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</si>
  <si>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</si>
  <si>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</si>
  <si>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</si>
  <si>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</si>
  <si>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</si>
  <si>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</si>
  <si>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</si>
  <si>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</si>
  <si>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</si>
  <si>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</si>
  <si>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</si>
  <si>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</si>
  <si>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</si>
  <si>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</si>
  <si>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</si>
  <si>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</si>
  <si>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</si>
  <si>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</si>
  <si>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</si>
  <si>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</si>
  <si>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</si>
  <si>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</si>
  <si>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</si>
  <si>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</si>
  <si>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</si>
  <si>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</si>
  <si>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</si>
  <si>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</si>
  <si>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</si>
  <si>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</si>
  <si>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</si>
  <si>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</si>
  <si>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</si>
  <si>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</si>
  <si>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</si>
  <si>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</si>
  <si>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</si>
  <si>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</si>
  <si>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</si>
  <si>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</si>
  <si>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</si>
  <si>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</si>
  <si>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</si>
  <si>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</si>
  <si>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</si>
  <si>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</si>
  <si>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</si>
  <si>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</si>
  <si>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</si>
  <si>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</si>
  <si>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</si>
  <si>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</si>
  <si>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</si>
  <si>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</si>
  <si>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</si>
  <si>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</si>
  <si>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</si>
  <si>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</si>
  <si>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</si>
  <si>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</si>
  <si>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</si>
  <si>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</si>
  <si>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</si>
  <si>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</si>
  <si>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</si>
  <si>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</si>
  <si>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</si>
  <si>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</si>
  <si>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</si>
  <si>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</si>
  <si>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</si>
  <si>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</si>
  <si>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</si>
  <si>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</si>
  <si>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</si>
  <si>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</si>
  <si>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</si>
  <si>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</si>
  <si>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</si>
  <si>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</si>
  <si>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</si>
  <si>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</si>
  <si>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</si>
  <si>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</si>
  <si>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</si>
  <si>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</si>
  <si>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</si>
  <si>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</si>
  <si>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</si>
  <si>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</si>
  <si>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</si>
  <si>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</si>
  <si>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</si>
  <si>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</si>
  <si>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</si>
  <si>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</si>
  <si>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</si>
  <si>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</si>
  <si>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</si>
  <si>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</si>
  <si>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</si>
  <si>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</si>
  <si>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</si>
  <si>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</si>
  <si>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</si>
  <si>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</si>
  <si>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</si>
  <si>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</si>
  <si>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</si>
  <si>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</si>
  <si>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</si>
  <si>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</si>
  <si>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</si>
  <si>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</si>
  <si>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</si>
  <si>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</si>
  <si>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</si>
  <si>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</si>
  <si>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</si>
  <si>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</si>
  <si>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</si>
  <si>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</si>
  <si>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</si>
  <si>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</si>
  <si>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</si>
  <si>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</si>
  <si>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</si>
  <si>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</si>
  <si>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</si>
  <si>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</si>
  <si>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</si>
  <si>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</si>
  <si>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</si>
  <si>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</si>
  <si>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</si>
  <si>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</si>
  <si>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</si>
  <si>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</si>
  <si>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</si>
  <si>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</si>
  <si>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</si>
  <si>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</si>
  <si>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</si>
  <si>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</si>
  <si>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</si>
  <si>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</si>
  <si>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</si>
  <si>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</si>
  <si>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</si>
  <si>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</si>
  <si>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</si>
  <si>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</si>
  <si>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</si>
  <si>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</si>
  <si>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</si>
  <si>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</si>
  <si>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</si>
  <si>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</si>
  <si>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</si>
  <si>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</si>
  <si>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</si>
  <si>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</si>
  <si>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</si>
  <si>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</si>
  <si>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</si>
  <si>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</si>
  <si>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</si>
  <si>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</si>
  <si>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</si>
  <si>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</si>
  <si>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</si>
  <si>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</si>
  <si>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</si>
  <si>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</si>
  <si>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</si>
  <si>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</si>
  <si>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</si>
  <si>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</si>
  <si>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</si>
  <si>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</si>
  <si>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</si>
  <si>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</si>
  <si>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</si>
  <si>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</si>
  <si>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</si>
  <si>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</si>
  <si>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</si>
  <si>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</si>
  <si>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</si>
  <si>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</si>
  <si>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</si>
  <si>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</si>
  <si>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</si>
  <si>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</si>
  <si>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</si>
  <si>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</si>
  <si>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</si>
  <si>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</si>
  <si>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</si>
  <si>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</si>
  <si>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</si>
  <si>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</si>
  <si>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</si>
  <si>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</si>
  <si>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</si>
  <si>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</si>
  <si>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</si>
  <si>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</si>
  <si>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</si>
  <si>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</si>
  <si>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</si>
  <si>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</si>
  <si>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</si>
  <si>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</si>
  <si>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</si>
  <si>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</si>
  <si>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</si>
  <si>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</si>
  <si>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</si>
  <si>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</si>
  <si>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</si>
  <si>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</si>
  <si>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</si>
  <si>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</si>
  <si>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</si>
  <si>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</si>
  <si>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</si>
  <si>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</si>
  <si>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</si>
  <si>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</si>
  <si>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</si>
  <si>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</si>
  <si>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</si>
  <si>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</si>
  <si>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</si>
  <si>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</si>
  <si>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</si>
  <si>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</si>
  <si>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</si>
  <si>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</si>
  <si>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</si>
  <si>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</si>
  <si>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</si>
  <si>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</si>
  <si>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</si>
  <si>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</si>
  <si>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</si>
  <si>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</si>
  <si>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</si>
  <si>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</si>
  <si>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</si>
  <si>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</si>
  <si>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</si>
  <si>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</si>
  <si>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</si>
  <si>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</si>
  <si>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</si>
  <si>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</si>
  <si>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</si>
  <si>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</si>
  <si>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</si>
  <si>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</si>
  <si>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</si>
  <si>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</si>
  <si>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</si>
  <si>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</si>
  <si>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</si>
  <si>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</si>
  <si>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</si>
  <si>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</si>
  <si>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</si>
  <si>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</si>
  <si>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</si>
  <si>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</si>
  <si>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</si>
  <si>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</si>
  <si>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</si>
  <si>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</si>
  <si>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</si>
  <si>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</si>
  <si>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</si>
  <si>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</si>
  <si>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</si>
  <si>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</si>
  <si>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</si>
  <si>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</si>
  <si>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</si>
  <si>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</si>
  <si>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</si>
  <si>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</si>
  <si>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</si>
  <si>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</si>
  <si>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</si>
  <si>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</si>
  <si>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</si>
  <si>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</si>
  <si>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</si>
  <si>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</si>
  <si>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</si>
  <si>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</si>
  <si>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</si>
  <si>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</si>
  <si>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</si>
  <si>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</si>
  <si>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</si>
  <si>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</si>
  <si>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</si>
  <si>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</si>
  <si>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</si>
  <si>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</si>
  <si>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</si>
  <si>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</si>
  <si>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</si>
  <si>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</si>
  <si>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</si>
  <si>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</si>
  <si>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</si>
  <si>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</si>
  <si>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</si>
  <si>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</si>
  <si>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</si>
  <si>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</si>
  <si>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</si>
  <si>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</si>
  <si>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</si>
  <si>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</si>
  <si>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</si>
  <si>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</si>
  <si>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</si>
  <si>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</si>
  <si>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</si>
  <si>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</si>
  <si>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</si>
  <si>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</si>
  <si>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</si>
  <si>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</si>
  <si>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</si>
  <si>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</si>
  <si>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</si>
  <si>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</si>
  <si>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</si>
  <si>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</si>
  <si>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</si>
  <si>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</si>
  <si>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</si>
  <si>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</si>
  <si>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</si>
  <si>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</si>
  <si>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</si>
  <si>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</si>
  <si>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</si>
  <si>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</si>
  <si>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</si>
  <si>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</si>
  <si>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</si>
  <si>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</si>
  <si>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</si>
  <si>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</si>
  <si>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</si>
  <si>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</si>
  <si>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</si>
  <si>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</si>
  <si>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</si>
  <si>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</si>
  <si>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</si>
  <si>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</si>
  <si>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</si>
  <si>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</si>
  <si>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</si>
  <si>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</si>
  <si>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</si>
  <si>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</si>
  <si>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</si>
  <si>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</si>
  <si>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</si>
  <si>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</si>
  <si>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</si>
  <si>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</si>
  <si>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</si>
  <si>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</si>
  <si>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</si>
  <si>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</si>
  <si>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</si>
  <si>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</si>
  <si>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</si>
  <si>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</si>
  <si>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</si>
  <si>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</si>
  <si>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</si>
  <si>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</si>
  <si>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</si>
  <si>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</si>
  <si>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</si>
  <si>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</si>
  <si>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</si>
  <si>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</si>
  <si>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</si>
  <si>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</si>
  <si>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</si>
  <si>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</si>
  <si>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</si>
  <si>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</si>
  <si>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</si>
  <si>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</si>
  <si>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</si>
  <si>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</si>
  <si>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</si>
  <si>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</si>
  <si>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</si>
  <si>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</si>
  <si>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</si>
  <si>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</si>
  <si>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</si>
  <si>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</si>
  <si>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</si>
  <si>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</si>
  <si>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</si>
  <si>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</si>
  <si>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</si>
  <si>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</si>
  <si>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</si>
  <si>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</si>
  <si>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</si>
  <si>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</si>
  <si>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</si>
  <si>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</si>
  <si>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</si>
  <si>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</si>
  <si>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</si>
  <si>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</si>
  <si>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</si>
  <si>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</si>
  <si>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</si>
  <si>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</si>
  <si>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</si>
  <si>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</si>
  <si>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</si>
  <si>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</si>
  <si>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</si>
  <si>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</si>
  <si>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</si>
  <si>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</si>
  <si>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</si>
  <si>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</si>
  <si>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</si>
  <si>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</si>
  <si>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</si>
  <si>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</si>
  <si>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</si>
  <si>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</si>
  <si>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</si>
  <si>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</si>
  <si>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</si>
  <si>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</si>
  <si>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</si>
  <si>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</si>
  <si>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</si>
  <si>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</si>
  <si>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</si>
  <si>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</si>
  <si>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</si>
  <si>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</si>
  <si>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</si>
  <si>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</si>
  <si>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</si>
  <si>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</si>
  <si>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</si>
  <si>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</si>
  <si>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</si>
  <si>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</si>
  <si>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</si>
  <si>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</si>
  <si>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</si>
  <si>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</si>
  <si>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</si>
  <si>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</si>
  <si>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</si>
  <si>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</si>
  <si>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</si>
  <si>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</si>
  <si>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</si>
  <si>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</si>
  <si>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</si>
  <si>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</si>
  <si>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</si>
  <si>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</si>
  <si>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</si>
  <si>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</si>
  <si>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</si>
  <si>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</si>
  <si>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</si>
  <si>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</si>
  <si>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</si>
  <si>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</si>
  <si>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</si>
  <si>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</si>
  <si>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</si>
  <si>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</si>
  <si>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</si>
  <si>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</si>
  <si>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</si>
  <si>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</si>
  <si>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</si>
  <si>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</si>
  <si>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</si>
  <si>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</si>
  <si>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</si>
  <si>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</si>
  <si>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</si>
  <si>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</si>
  <si>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</si>
  <si>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</si>
  <si>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</si>
  <si>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</si>
  <si>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</si>
  <si>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</si>
  <si>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</si>
  <si>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</si>
  <si>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</si>
  <si>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</si>
  <si>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</si>
  <si>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</si>
  <si>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</si>
  <si>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</si>
  <si>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</si>
  <si>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</si>
  <si>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</si>
  <si>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</si>
  <si>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</si>
  <si>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</si>
  <si>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</si>
  <si>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</si>
  <si>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</si>
  <si>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</si>
  <si>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</si>
  <si>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</si>
  <si>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</si>
  <si>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</si>
  <si>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</si>
  <si>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</si>
  <si>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</si>
  <si>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</si>
  <si>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</si>
  <si>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</si>
  <si>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</si>
  <si>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</si>
  <si>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</si>
  <si>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</si>
  <si>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</si>
  <si>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</si>
  <si>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</si>
  <si>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</si>
  <si>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</si>
  <si>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</si>
  <si>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</si>
  <si>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</si>
  <si>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</si>
  <si>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</si>
  <si>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</si>
  <si>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</si>
  <si>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</si>
  <si>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</si>
  <si>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</si>
  <si>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</si>
  <si>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</si>
  <si>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</si>
  <si>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</si>
  <si>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</si>
  <si>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</si>
  <si>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</si>
  <si>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</si>
  <si>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</si>
  <si>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</si>
  <si>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</si>
  <si>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</si>
  <si>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</si>
  <si>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</si>
  <si>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</si>
  <si>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</si>
  <si>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</si>
  <si>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</si>
  <si>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</si>
  <si>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</si>
  <si>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</si>
  <si>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</si>
  <si>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</si>
  <si>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</si>
  <si>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</si>
  <si>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</si>
  <si>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</si>
  <si>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</si>
  <si>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</si>
  <si>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</si>
  <si>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</si>
  <si>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</si>
  <si>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</si>
  <si>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</si>
  <si>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</si>
  <si>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</si>
  <si>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</si>
  <si>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</si>
  <si>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</si>
  <si>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</si>
  <si>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</si>
  <si>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</si>
  <si>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</si>
  <si>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</si>
  <si>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</si>
  <si>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</si>
  <si>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</si>
  <si>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</si>
  <si>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</si>
  <si>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</si>
  <si>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</si>
  <si>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</si>
  <si>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</si>
  <si>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</si>
  <si>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</si>
  <si>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</si>
  <si>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</si>
  <si>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</si>
  <si>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</si>
  <si>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</si>
  <si>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</si>
  <si>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</si>
  <si>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</si>
  <si>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</si>
  <si>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</si>
  <si>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</si>
  <si>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</si>
  <si>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</si>
  <si>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</si>
  <si>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</si>
  <si>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</si>
  <si>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</si>
  <si>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</si>
  <si>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</si>
  <si>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</si>
  <si>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</si>
  <si>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</si>
  <si>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</si>
  <si>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</si>
  <si>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</si>
  <si>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</si>
  <si>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</si>
  <si>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</si>
  <si>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</si>
  <si>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</si>
  <si>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</si>
  <si>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</si>
  <si>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</si>
  <si>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</si>
  <si>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</si>
  <si>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</si>
  <si>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</si>
  <si>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</si>
  <si>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</si>
  <si>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</si>
  <si>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</si>
  <si>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</si>
  <si>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</si>
  <si>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</si>
  <si>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</si>
  <si>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</si>
  <si>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</si>
  <si>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</si>
  <si>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</si>
  <si>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</si>
  <si>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</si>
  <si>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</si>
  <si>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</si>
  <si>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</si>
  <si>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</si>
  <si>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</si>
  <si>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</si>
  <si>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</si>
  <si>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</si>
  <si>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</si>
  <si>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</si>
  <si>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</si>
  <si>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</si>
  <si>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</si>
  <si>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</si>
  <si>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</si>
  <si>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</si>
  <si>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</si>
  <si>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</si>
  <si>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</si>
  <si>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</si>
  <si>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</si>
  <si>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</si>
  <si>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</si>
  <si>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</si>
  <si>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</si>
  <si>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</si>
  <si>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</si>
  <si>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</si>
  <si>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</si>
  <si>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</si>
  <si>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</si>
  <si>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</si>
  <si>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</si>
  <si>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</si>
  <si>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</si>
  <si>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</si>
  <si>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</si>
  <si>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</si>
  <si>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</si>
  <si>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</si>
  <si>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</si>
  <si>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</si>
  <si>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</si>
  <si>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</si>
  <si>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</si>
  <si>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</si>
  <si>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</si>
  <si>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</si>
  <si>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</si>
  <si>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</si>
  <si>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</si>
  <si>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</si>
  <si>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</si>
  <si>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</si>
  <si>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</si>
  <si>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</si>
  <si>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</si>
  <si>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</si>
  <si>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</si>
  <si>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</si>
  <si>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</si>
  <si>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</si>
  <si>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</si>
  <si>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</si>
  <si>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</si>
  <si>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</si>
  <si>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</si>
  <si>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</si>
  <si>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</si>
  <si>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</si>
  <si>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</si>
  <si>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</si>
  <si>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</si>
  <si>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</si>
  <si>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</si>
  <si>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</si>
  <si>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</si>
  <si>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</si>
  <si>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</si>
  <si>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</si>
  <si>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</si>
  <si>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</si>
  <si>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</si>
  <si>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</si>
  <si>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</si>
  <si>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</si>
  <si>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</si>
  <si>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</si>
  <si>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</si>
  <si>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</si>
  <si>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</si>
  <si>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</si>
  <si>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</si>
  <si>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</si>
  <si>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</si>
  <si>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</si>
  <si>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</si>
  <si>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</si>
  <si>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</si>
  <si>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</si>
  <si>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</si>
  <si>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</si>
  <si>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</si>
  <si>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</si>
  <si>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</si>
  <si>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</si>
  <si>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</si>
  <si>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</si>
  <si>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</si>
  <si>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</si>
  <si>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</si>
  <si>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</si>
  <si>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</si>
  <si>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</si>
  <si>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</si>
  <si>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</si>
  <si>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</si>
  <si>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</si>
  <si>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</si>
  <si>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</si>
  <si>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</si>
  <si>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</si>
  <si>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</si>
  <si>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</si>
  <si>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</si>
  <si>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</si>
  <si>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</si>
  <si>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</si>
  <si>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</si>
  <si>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</si>
  <si>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</si>
  <si>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</si>
  <si>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</si>
  <si>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</si>
  <si>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</si>
  <si>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</si>
  <si>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</si>
  <si>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</si>
  <si>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</si>
  <si>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</si>
  <si>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</si>
  <si>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</si>
  <si>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</si>
  <si>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</si>
  <si>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</si>
  <si>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</si>
  <si>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</si>
  <si>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</si>
  <si>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</si>
  <si>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</si>
  <si>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</si>
  <si>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</si>
  <si>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</si>
  <si>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</si>
  <si>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</si>
  <si>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</si>
  <si>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</si>
  <si>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</si>
  <si>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</si>
  <si>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</si>
  <si>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</si>
  <si>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</si>
  <si>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</si>
  <si>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</si>
  <si>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</si>
  <si>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</si>
  <si>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</si>
  <si>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</si>
  <si>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</si>
  <si>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</si>
  <si>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</si>
  <si>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</si>
  <si>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</si>
  <si>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</si>
  <si>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</si>
  <si>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</si>
  <si>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</si>
  <si>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</si>
  <si>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</si>
  <si>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</si>
  <si>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</si>
  <si>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</si>
  <si>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</si>
  <si>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</si>
  <si>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</si>
  <si>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</si>
  <si>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</si>
  <si>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</si>
  <si>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</si>
  <si>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</si>
  <si>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</si>
  <si>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</si>
  <si>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</si>
  <si>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</si>
  <si>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</si>
  <si>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</si>
  <si>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</si>
  <si>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</si>
  <si>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</si>
  <si>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</si>
  <si>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</si>
  <si>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</si>
  <si>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</si>
  <si>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</si>
  <si>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</si>
  <si>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</si>
  <si>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</si>
  <si>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</si>
  <si>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</si>
  <si>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</si>
  <si>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</si>
  <si>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</si>
  <si>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</si>
  <si>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</si>
  <si>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</si>
  <si>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</si>
  <si>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</si>
  <si>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</si>
  <si>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</si>
  <si>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</si>
  <si>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</si>
  <si>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</si>
  <si>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</si>
  <si>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</si>
  <si>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</si>
  <si>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</si>
  <si>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</si>
  <si>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</si>
  <si>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</si>
  <si>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</si>
  <si>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</si>
  <si>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</si>
  <si>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</si>
  <si>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</si>
  <si>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</si>
  <si>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</si>
  <si>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</si>
  <si>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</si>
  <si>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</si>
  <si>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</si>
  <si>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</si>
  <si>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</si>
  <si>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</si>
  <si>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</si>
  <si>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</si>
  <si>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</si>
  <si>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</si>
  <si>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</si>
  <si>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</si>
  <si>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</si>
  <si>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</si>
  <si>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</si>
  <si>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</si>
  <si>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</si>
  <si>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</si>
  <si>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</si>
  <si>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</si>
  <si>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</si>
  <si>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</si>
  <si>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</si>
  <si>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</si>
  <si>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</si>
  <si>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</si>
  <si>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</si>
  <si>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</si>
  <si>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</si>
  <si>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</si>
  <si>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</si>
  <si>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</si>
  <si>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</si>
  <si>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</si>
  <si>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</si>
  <si>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</si>
  <si>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</si>
  <si>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</si>
  <si>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</si>
  <si>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</si>
  <si>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</si>
  <si>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</si>
  <si>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</si>
  <si>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</si>
  <si>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</si>
  <si>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</si>
  <si>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</si>
  <si>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</si>
  <si>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</si>
  <si>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</si>
  <si>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</si>
  <si>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</si>
  <si>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</si>
  <si>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</si>
  <si>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</si>
  <si>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</si>
  <si>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</si>
  <si>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</si>
  <si>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</si>
  <si>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</si>
  <si>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</si>
  <si>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</si>
  <si>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</si>
  <si>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</si>
  <si>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</si>
  <si>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</si>
  <si>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</si>
  <si>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</si>
  <si>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</si>
  <si>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</si>
  <si>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</si>
  <si>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</si>
  <si>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</si>
  <si>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</si>
  <si>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</si>
  <si>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</si>
  <si>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</si>
  <si>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</si>
  <si>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</si>
  <si>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</si>
  <si>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</si>
  <si>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</si>
  <si>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</si>
  <si>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</si>
  <si>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</si>
  <si>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</si>
  <si>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</si>
  <si>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</si>
  <si>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</si>
  <si>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</si>
  <si>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</si>
  <si>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</si>
  <si>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</si>
  <si>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</si>
  <si>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</si>
  <si>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</si>
  <si>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</si>
  <si>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</si>
  <si>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</si>
  <si>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</si>
  <si>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</si>
  <si>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</si>
  <si>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</si>
  <si>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</si>
  <si>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</si>
  <si>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</si>
  <si>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</si>
  <si>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</si>
  <si>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</si>
  <si>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</si>
  <si>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</si>
  <si>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</si>
  <si>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</si>
  <si>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</si>
  <si>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</si>
  <si>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</si>
  <si>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</si>
  <si>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</si>
  <si>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</si>
  <si>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</si>
  <si>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</si>
  <si>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</si>
  <si>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</si>
  <si>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</si>
  <si>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</si>
  <si>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</si>
  <si>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</si>
  <si>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</si>
  <si>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</si>
  <si>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</si>
  <si>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</si>
  <si>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</si>
  <si>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</si>
  <si>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</si>
  <si>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</si>
  <si>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</si>
  <si>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</si>
  <si>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</si>
  <si>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</si>
  <si>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</si>
  <si>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</si>
  <si>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</si>
  <si>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</si>
  <si>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</si>
  <si>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</si>
  <si>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</si>
  <si>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</si>
  <si>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</si>
  <si>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</si>
  <si>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</si>
  <si>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</si>
  <si>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</si>
  <si>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</si>
  <si>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</si>
  <si>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</si>
  <si>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</si>
  <si>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</si>
  <si>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</si>
  <si>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</si>
  <si>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</si>
  <si>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</si>
  <si>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</si>
  <si>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</si>
  <si>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</si>
  <si>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</si>
  <si>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</si>
  <si>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</si>
  <si>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</si>
  <si>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</si>
  <si>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</si>
  <si>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</si>
  <si>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</si>
  <si>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</si>
  <si>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</si>
  <si>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</si>
  <si>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</si>
  <si>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</si>
  <si>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</si>
  <si>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</si>
  <si>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</si>
  <si>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</si>
  <si>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</si>
  <si>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</si>
  <si>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</si>
  <si>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</si>
  <si>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</si>
  <si>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</si>
  <si>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</si>
  <si>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</si>
  <si>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</si>
  <si>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</si>
  <si>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</si>
  <si>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</si>
  <si>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</si>
  <si>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</si>
  <si>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</si>
  <si>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</si>
  <si>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</si>
  <si>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</si>
  <si>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</si>
  <si>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</si>
  <si>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</si>
  <si>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</si>
  <si>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</si>
  <si>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</si>
  <si>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</si>
  <si>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</si>
  <si>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</si>
  <si>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</si>
  <si>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</si>
  <si>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</si>
  <si>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</si>
  <si>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</si>
  <si>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</si>
  <si>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</si>
  <si>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</si>
  <si>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</si>
  <si>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</si>
  <si>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</si>
  <si>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</si>
  <si>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</si>
  <si>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</si>
  <si>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</si>
  <si>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</si>
  <si>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</si>
  <si>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</si>
  <si>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</si>
  <si>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</si>
  <si>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</si>
  <si>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</si>
  <si>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</si>
  <si>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</si>
  <si>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</si>
  <si>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</si>
  <si>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</si>
  <si>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</si>
  <si>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</si>
  <si>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</si>
  <si>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</si>
  <si>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</si>
  <si>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</si>
  <si>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</si>
  <si>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</si>
  <si>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</si>
  <si>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</si>
  <si>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</si>
  <si>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</si>
  <si>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</si>
  <si>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</si>
  <si>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</si>
  <si>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</si>
  <si>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</si>
  <si>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</si>
  <si>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</si>
  <si>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</si>
  <si>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</si>
  <si>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</si>
  <si>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</si>
  <si>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</si>
  <si>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</si>
  <si>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</si>
  <si>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</si>
  <si>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</si>
  <si>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</si>
  <si>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</si>
  <si>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</si>
  <si>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</si>
  <si>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</si>
  <si>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</si>
  <si>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</si>
  <si>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</si>
  <si>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</si>
  <si>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</si>
  <si>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</si>
  <si>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</si>
  <si>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</si>
  <si>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</si>
  <si>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</si>
  <si>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</si>
  <si>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</si>
  <si>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</si>
  <si>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</si>
  <si>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</si>
  <si>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</si>
  <si>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</si>
  <si>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</si>
  <si>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</si>
  <si>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</si>
  <si>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</si>
  <si>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</si>
  <si>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</si>
  <si>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</si>
  <si>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</si>
  <si>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</si>
  <si>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</si>
  <si>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</si>
  <si>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</si>
  <si>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</si>
  <si>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</si>
  <si>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</si>
  <si>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</si>
  <si>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</si>
  <si>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</si>
  <si>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</si>
  <si>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</si>
  <si>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</si>
  <si>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</si>
  <si>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</si>
  <si>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</si>
  <si>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</si>
  <si>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</si>
  <si>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</si>
  <si>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</si>
  <si>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</si>
  <si>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</si>
  <si>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</si>
  <si>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</si>
  <si>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</si>
  <si>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</si>
  <si>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</si>
  <si>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</si>
  <si>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</si>
  <si>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</si>
  <si>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</si>
  <si>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</si>
  <si>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</si>
  <si>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</si>
  <si>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</si>
  <si>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</si>
  <si>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</si>
  <si>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</si>
  <si>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</si>
  <si>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</si>
  <si>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</si>
  <si>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</si>
  <si>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</si>
  <si>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</si>
  <si>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</si>
  <si>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</si>
  <si>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</si>
  <si>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</si>
  <si>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</si>
  <si>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</si>
  <si>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</si>
  <si>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</si>
  <si>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</si>
  <si>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</si>
  <si>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</si>
  <si>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</si>
  <si>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</si>
  <si>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</si>
  <si>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</si>
  <si>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</si>
  <si>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</si>
  <si>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</si>
  <si>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</si>
  <si>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</si>
  <si>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</si>
  <si>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</si>
  <si>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</si>
  <si>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</si>
  <si>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</si>
  <si>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</si>
  <si>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</si>
  <si>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</si>
  <si>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</si>
  <si>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</si>
  <si>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</si>
  <si>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</si>
  <si>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</si>
  <si>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</si>
  <si>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</si>
  <si>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</si>
  <si>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</si>
  <si>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</si>
  <si>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</si>
  <si>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</si>
  <si>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</si>
  <si>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</si>
  <si>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</si>
  <si>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</si>
  <si>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</si>
  <si>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</si>
  <si>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</si>
  <si>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</si>
  <si>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</si>
  <si>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</si>
  <si>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</si>
  <si>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</si>
  <si>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</si>
  <si>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</si>
  <si>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</si>
  <si>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</si>
  <si>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</si>
  <si>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</si>
  <si>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</si>
  <si>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</si>
  <si>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</si>
  <si>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</si>
  <si>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</si>
  <si>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</si>
  <si>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</si>
  <si>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</si>
  <si>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</si>
  <si>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</si>
  <si>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</si>
  <si>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</si>
  <si>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</si>
  <si>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</si>
  <si>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</si>
  <si>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</si>
  <si>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</si>
  <si>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</si>
  <si>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</si>
  <si>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</si>
  <si>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</si>
  <si>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</si>
  <si>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</si>
  <si>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</si>
  <si>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</si>
  <si>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</si>
  <si>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</si>
  <si>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</si>
  <si>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</si>
  <si>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</si>
  <si>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</si>
  <si>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</si>
  <si>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</si>
  <si>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</si>
  <si>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</si>
  <si>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</si>
  <si>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</si>
  <si>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</si>
  <si>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</si>
  <si>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</si>
  <si>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</si>
  <si>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</si>
  <si>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</si>
  <si>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</si>
  <si>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</si>
  <si>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</si>
  <si>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</si>
  <si>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</si>
  <si>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</si>
  <si>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</si>
  <si>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</si>
  <si>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</si>
  <si>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</si>
  <si>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</si>
  <si>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</si>
  <si>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</si>
  <si>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</si>
  <si>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</si>
  <si>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</si>
  <si>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</si>
  <si>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</si>
  <si>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</si>
  <si>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</si>
  <si>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</si>
  <si>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</si>
  <si>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</si>
  <si>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</si>
  <si>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</si>
  <si>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</si>
  <si>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</si>
  <si>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</si>
  <si>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</si>
  <si>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</si>
  <si>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</si>
  <si>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</si>
  <si>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</si>
  <si>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</si>
  <si>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</si>
  <si>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</si>
  <si>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</si>
  <si>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</si>
  <si>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</si>
  <si>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</si>
  <si>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</si>
  <si>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</si>
  <si>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</si>
  <si>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</si>
  <si>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</si>
  <si>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</si>
  <si>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</si>
  <si>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</si>
  <si>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</si>
  <si>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</si>
  <si>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</si>
  <si>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</si>
  <si>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</si>
  <si>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</si>
  <si>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</si>
  <si>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</si>
  <si>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</si>
  <si>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</si>
  <si>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</si>
  <si>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</si>
  <si>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</si>
  <si>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</si>
  <si>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</si>
  <si>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</si>
  <si>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</si>
  <si>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</si>
  <si>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</si>
  <si>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</si>
  <si>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</si>
  <si>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</si>
  <si>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</si>
  <si>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</si>
  <si>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</si>
  <si>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</si>
  <si>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</si>
  <si>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</si>
  <si>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</si>
  <si>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</si>
  <si>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</si>
  <si>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</si>
  <si>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</si>
  <si>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</si>
  <si>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</si>
  <si>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</si>
  <si>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</si>
  <si>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</si>
  <si>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</si>
  <si>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</si>
  <si>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</si>
  <si>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</si>
  <si>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</si>
  <si>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</si>
  <si>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</si>
  <si>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</si>
  <si>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</si>
  <si>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</si>
  <si>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</si>
  <si>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</si>
  <si>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</si>
  <si>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</si>
  <si>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</si>
  <si>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</si>
  <si>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</si>
  <si>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</si>
  <si>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</si>
  <si>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</si>
  <si>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</si>
  <si>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</si>
  <si>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</si>
  <si>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</si>
  <si>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</si>
  <si>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</si>
  <si>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</si>
  <si>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</si>
  <si>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</si>
  <si>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</si>
  <si>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</si>
  <si>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</si>
  <si>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</si>
  <si>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</si>
  <si>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</si>
  <si>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</si>
  <si>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</si>
  <si>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</si>
  <si>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</si>
  <si>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</si>
  <si>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</si>
  <si>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</si>
  <si>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</si>
  <si>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</si>
  <si>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</si>
  <si>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</si>
  <si>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</si>
  <si>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</si>
  <si>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</si>
  <si>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</si>
  <si>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</si>
  <si>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</si>
  <si>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</si>
  <si>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</si>
  <si>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</si>
  <si>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</si>
  <si>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</si>
  <si>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</si>
  <si>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</si>
  <si>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</si>
  <si>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</si>
  <si>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</si>
  <si>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</si>
  <si>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</si>
  <si>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</si>
  <si>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</si>
  <si>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</si>
  <si>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</si>
  <si>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</si>
  <si>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</si>
  <si>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</si>
  <si>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</si>
  <si>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</si>
  <si>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</si>
  <si>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</si>
  <si>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</si>
  <si>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</si>
  <si>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</si>
  <si>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</si>
  <si>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</si>
  <si>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</si>
  <si>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</si>
  <si>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</si>
  <si>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</si>
  <si>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</si>
  <si>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</si>
  <si>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</si>
  <si>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</si>
  <si>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</si>
  <si>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</si>
  <si>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</si>
  <si>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</si>
  <si>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</si>
  <si>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</si>
  <si>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</si>
  <si>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</si>
  <si>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</si>
  <si>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</si>
  <si>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</si>
  <si>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</si>
  <si>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</si>
  <si>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</si>
  <si>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</si>
  <si>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</si>
  <si>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</si>
  <si>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</si>
  <si>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</si>
  <si>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</si>
  <si>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</si>
  <si>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</si>
  <si>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</si>
  <si>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</si>
  <si>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</si>
  <si>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</si>
  <si>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</si>
  <si>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</si>
  <si>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</si>
  <si>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</si>
  <si>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</si>
  <si>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</si>
  <si>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</si>
  <si>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</si>
  <si>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</si>
  <si>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</si>
  <si>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</si>
  <si>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</si>
  <si>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</si>
  <si>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</si>
  <si>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</si>
  <si>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</si>
  <si>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</si>
  <si>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</si>
  <si>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</si>
  <si>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</si>
  <si>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</si>
  <si>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</si>
  <si>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</si>
  <si>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</si>
  <si>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</si>
  <si>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</si>
  <si>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</si>
  <si>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</si>
  <si>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</si>
  <si>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</si>
  <si>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</si>
  <si>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</si>
  <si>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</si>
  <si>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</si>
  <si>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</si>
  <si>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</si>
  <si>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</si>
  <si>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</si>
  <si>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</si>
  <si>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</si>
  <si>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</si>
  <si>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</si>
  <si>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</si>
  <si>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</si>
  <si>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</si>
  <si>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</si>
  <si>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</si>
  <si>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</si>
  <si>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</si>
  <si>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</si>
  <si>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</si>
  <si>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</si>
  <si>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</si>
  <si>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</si>
  <si>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</si>
  <si>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</si>
  <si>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</si>
  <si>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</si>
  <si>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</si>
  <si>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</si>
  <si>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</si>
  <si>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</si>
  <si>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</si>
  <si>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</si>
  <si>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</si>
  <si>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</si>
  <si>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</si>
  <si>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</si>
  <si>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</si>
  <si>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</si>
  <si>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</si>
  <si>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</si>
  <si>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</si>
  <si>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</si>
  <si>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</si>
  <si>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</si>
  <si>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</si>
  <si>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</si>
  <si>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</si>
  <si>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</si>
  <si>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</si>
  <si>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</si>
  <si>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</si>
  <si>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</si>
  <si>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</si>
  <si>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</si>
  <si>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</si>
  <si>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</si>
  <si>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</si>
  <si>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</si>
  <si>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</si>
  <si>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</si>
  <si>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</si>
  <si>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</si>
  <si>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</si>
  <si>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</si>
  <si>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</si>
  <si>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</si>
  <si>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</si>
  <si>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</si>
  <si>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</si>
  <si>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</si>
  <si>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</si>
  <si>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</si>
  <si>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</si>
  <si>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</si>
  <si>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</si>
  <si>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</si>
  <si>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</si>
  <si>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</si>
  <si>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</si>
  <si>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</si>
  <si>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</si>
  <si>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</si>
  <si>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</si>
  <si>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</si>
  <si>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</si>
  <si>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</si>
  <si>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</si>
  <si>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</si>
  <si>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</si>
  <si>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</si>
  <si>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</si>
  <si>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</si>
  <si>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</si>
  <si>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</si>
  <si>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</si>
  <si>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</si>
  <si>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</si>
  <si>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</si>
  <si>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</si>
  <si>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</si>
  <si>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</si>
  <si>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</si>
  <si>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</si>
  <si>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</si>
  <si>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</si>
  <si>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</si>
  <si>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</si>
  <si>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</si>
  <si>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</si>
  <si>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</si>
  <si>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</si>
  <si>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</si>
  <si>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</si>
  <si>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</si>
  <si>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</si>
  <si>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</si>
  <si>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</si>
  <si>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</si>
  <si>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</si>
  <si>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</si>
  <si>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</si>
  <si>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</si>
  <si>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</si>
  <si>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</si>
  <si>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</si>
  <si>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</si>
  <si>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</si>
  <si>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</si>
  <si>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</si>
  <si>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</si>
  <si>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</si>
  <si>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</si>
  <si>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</si>
  <si>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</si>
  <si>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</si>
  <si>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</si>
  <si>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</si>
  <si>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</si>
  <si>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</si>
  <si>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</si>
  <si>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</si>
  <si>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</si>
  <si>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</si>
  <si>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</si>
  <si>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</si>
  <si>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</si>
  <si>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</si>
  <si>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</si>
  <si>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</si>
  <si>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</si>
  <si>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</si>
  <si>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</si>
  <si>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</si>
  <si>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</si>
  <si>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</si>
  <si>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</si>
  <si>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</si>
  <si>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</si>
  <si>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</si>
  <si>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</si>
  <si>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</si>
  <si>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</si>
  <si>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</si>
  <si>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</si>
  <si>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</si>
  <si>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</si>
  <si>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</si>
  <si>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</si>
  <si>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</si>
  <si>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</si>
  <si>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</si>
  <si>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</si>
  <si>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</si>
  <si>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</si>
  <si>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</si>
  <si>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</si>
  <si>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</si>
  <si>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</si>
  <si>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</si>
  <si>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</si>
  <si>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</si>
  <si>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</si>
  <si>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</si>
  <si>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</si>
  <si>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</si>
  <si>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</si>
  <si>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</si>
  <si>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</si>
  <si>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</si>
  <si>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</si>
  <si>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</si>
  <si>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</si>
  <si>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</si>
  <si>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</si>
  <si>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</si>
  <si>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</si>
  <si>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</si>
  <si>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</si>
  <si>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</si>
  <si>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</si>
  <si>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</si>
  <si>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</si>
  <si>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</si>
  <si>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</si>
  <si>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</si>
  <si>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</si>
  <si>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</si>
  <si>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</si>
  <si>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</si>
  <si>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</si>
  <si>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</si>
  <si>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</si>
  <si>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</si>
  <si>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</si>
  <si>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</si>
  <si>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</si>
  <si>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</si>
  <si>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</si>
  <si>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</si>
  <si>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</si>
  <si>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</si>
  <si>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</si>
  <si>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</si>
  <si>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</si>
  <si>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</si>
  <si>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</si>
  <si>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</si>
  <si>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</si>
  <si>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</si>
  <si>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</si>
  <si>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</si>
  <si>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</si>
  <si>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</si>
  <si>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</si>
  <si>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</si>
  <si>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</si>
  <si>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</si>
  <si>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</si>
  <si>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</si>
  <si>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</si>
  <si>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</si>
  <si>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</si>
  <si>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</si>
  <si>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</si>
  <si>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</si>
  <si>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</si>
  <si>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</si>
  <si>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</si>
  <si>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</si>
  <si>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</si>
  <si>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</si>
  <si>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</si>
  <si>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</si>
  <si>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</si>
  <si>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</si>
  <si>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</si>
  <si>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</si>
  <si>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</si>
  <si>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</si>
  <si>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</si>
  <si>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</si>
  <si>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</si>
  <si>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</si>
  <si>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</si>
  <si>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</si>
  <si>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</si>
  <si>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</si>
  <si>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</si>
  <si>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</si>
  <si>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</si>
  <si>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</si>
  <si>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</si>
  <si>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</si>
  <si>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</si>
  <si>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</si>
  <si>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</si>
  <si>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</si>
  <si>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</si>
  <si>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</si>
  <si>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</si>
  <si>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</si>
  <si>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</si>
  <si>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</si>
  <si>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</si>
  <si>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</si>
  <si>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</si>
  <si>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</si>
  <si>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</si>
  <si>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</si>
  <si>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</si>
  <si>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</si>
  <si>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</si>
  <si>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</si>
  <si>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</si>
  <si>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</si>
  <si>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</si>
  <si>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</si>
  <si>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</si>
  <si>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</si>
  <si>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</si>
  <si>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</si>
  <si>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</si>
  <si>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</si>
  <si>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</si>
  <si>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</si>
  <si>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</si>
  <si>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</si>
  <si>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</si>
  <si>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</si>
  <si>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</si>
  <si>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</si>
  <si>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</si>
  <si>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</si>
  <si>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</si>
  <si>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</si>
  <si>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</si>
  <si>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</si>
  <si>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</si>
  <si>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</si>
  <si>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</si>
  <si>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</si>
  <si>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</si>
  <si>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</si>
  <si>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</si>
  <si>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</si>
  <si>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</si>
  <si>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</si>
  <si>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</si>
  <si>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</si>
  <si>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</si>
  <si>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</si>
  <si>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</si>
  <si>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</si>
  <si>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</si>
  <si>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</si>
  <si>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</si>
  <si>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</si>
  <si>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</si>
  <si>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</si>
  <si>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</si>
  <si>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</si>
  <si>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</si>
  <si>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</si>
  <si>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</si>
  <si>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</si>
  <si>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</si>
  <si>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</si>
  <si>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</si>
  <si>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</si>
  <si>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</si>
  <si>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</si>
  <si>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</si>
  <si>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</si>
  <si>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</si>
  <si>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</si>
  <si>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</si>
  <si>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</si>
  <si>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</si>
  <si>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</si>
  <si>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</si>
  <si>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</si>
  <si>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</si>
  <si>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</si>
  <si>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</si>
  <si>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</si>
  <si>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</si>
  <si>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</si>
  <si>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</si>
  <si>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</si>
  <si>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</si>
  <si>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</si>
  <si>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</si>
  <si>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</si>
  <si>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</si>
  <si>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</si>
  <si>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</si>
  <si>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</si>
  <si>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</si>
  <si>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</si>
  <si>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</si>
  <si>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</si>
  <si>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</si>
  <si>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</si>
  <si>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</si>
  <si>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</si>
  <si>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</si>
  <si>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</si>
  <si>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</si>
  <si>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</si>
  <si>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</si>
  <si>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</si>
  <si>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</si>
  <si>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</si>
  <si>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</si>
  <si>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</si>
  <si>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</si>
  <si>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</si>
  <si>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</si>
  <si>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</si>
  <si>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</si>
  <si>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</si>
  <si>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</si>
  <si>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</si>
  <si>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</si>
  <si>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</si>
  <si>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</si>
  <si>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</si>
  <si>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</si>
  <si>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</si>
  <si>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</si>
  <si>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</si>
  <si>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</si>
  <si>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</si>
  <si>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</si>
  <si>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</si>
  <si>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</si>
  <si>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</si>
  <si>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</si>
  <si>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</si>
  <si>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</si>
  <si>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</si>
  <si>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</si>
  <si>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</si>
  <si>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</si>
  <si>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</si>
  <si>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</si>
  <si>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</si>
  <si>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</si>
  <si>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</si>
  <si>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</si>
  <si>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</si>
  <si>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</si>
  <si>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</si>
  <si>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</si>
  <si>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</si>
  <si>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</si>
  <si>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</si>
  <si>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</si>
  <si>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</si>
  <si>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</si>
  <si>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</si>
  <si>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</si>
  <si>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</si>
  <si>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</si>
  <si>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</si>
  <si>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</si>
  <si>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</si>
  <si>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</si>
  <si>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</si>
  <si>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</si>
  <si>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</si>
  <si>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</si>
  <si>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</si>
  <si>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</si>
  <si>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</si>
  <si>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</si>
  <si>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</si>
  <si>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</si>
  <si>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</si>
  <si>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</si>
  <si>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</si>
  <si>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</si>
  <si>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</si>
  <si>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</si>
  <si>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</si>
  <si>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</si>
  <si>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</si>
  <si>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</si>
  <si>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</si>
  <si>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</si>
  <si>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</si>
  <si>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</si>
  <si>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</si>
  <si>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</si>
  <si>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</si>
  <si>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</si>
  <si>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</si>
  <si>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</si>
  <si>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</si>
  <si>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</si>
  <si>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</si>
  <si>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</si>
  <si>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</si>
  <si>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</si>
  <si>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</si>
  <si>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</si>
  <si>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</si>
  <si>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</si>
  <si>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</si>
  <si>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</si>
  <si>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</si>
  <si>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</si>
  <si>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</si>
  <si>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</si>
  <si>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</si>
  <si>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</si>
  <si>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</si>
  <si>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</si>
  <si>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</si>
  <si>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</si>
  <si>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</si>
  <si>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</si>
  <si>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</si>
  <si>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</si>
  <si>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</si>
  <si>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</si>
  <si>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</si>
  <si>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</si>
  <si>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</si>
  <si>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</si>
  <si>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</si>
  <si>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</si>
  <si>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</si>
  <si>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</si>
  <si>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</si>
  <si>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</si>
  <si>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</si>
  <si>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</si>
  <si>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</si>
  <si>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</si>
  <si>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</si>
  <si>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</si>
  <si>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</si>
  <si>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</si>
  <si>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</si>
  <si>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</si>
  <si>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</si>
  <si>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</si>
  <si>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</si>
  <si>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</si>
  <si>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</si>
  <si>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</si>
  <si>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</si>
  <si>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</si>
  <si>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</si>
  <si>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</si>
  <si>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</si>
  <si>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</si>
  <si>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</si>
  <si>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</si>
  <si>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</si>
  <si>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</si>
  <si>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</si>
  <si>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</si>
  <si>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</si>
  <si>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</si>
  <si>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</si>
  <si>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</si>
  <si>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</si>
  <si>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</si>
  <si>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</si>
  <si>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</si>
  <si>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</si>
  <si>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</si>
  <si>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</si>
  <si>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</si>
  <si>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</si>
  <si>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</si>
  <si>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</si>
  <si>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</si>
  <si>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</si>
  <si>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</si>
  <si>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</si>
  <si>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</si>
  <si>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</si>
  <si>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</si>
  <si>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</si>
  <si>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</si>
  <si>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</si>
  <si>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</si>
  <si>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</si>
  <si>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</si>
  <si>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</si>
  <si>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</si>
  <si>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</si>
  <si>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</si>
  <si>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</si>
  <si>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</si>
  <si>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</si>
  <si>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</si>
  <si>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</si>
  <si>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</si>
  <si>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</si>
  <si>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</si>
  <si>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</si>
  <si>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</si>
  <si>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</si>
  <si>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</si>
  <si>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</si>
  <si>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</si>
  <si>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</si>
  <si>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</si>
  <si>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</si>
  <si>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</si>
  <si>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</si>
  <si>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</si>
  <si>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</si>
  <si>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</si>
  <si>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</si>
  <si>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</si>
  <si>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</si>
  <si>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</si>
  <si>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</si>
  <si>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</si>
  <si>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</si>
  <si>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</si>
  <si>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</si>
  <si>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</si>
  <si>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</si>
  <si>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</si>
  <si>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</si>
  <si>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</si>
  <si>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</si>
  <si>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</si>
  <si>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</si>
  <si>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</si>
  <si>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</si>
  <si>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</si>
  <si>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</si>
  <si>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</si>
  <si>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</si>
  <si>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</si>
  <si>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</si>
  <si>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</si>
  <si>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</si>
  <si>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</si>
  <si>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</si>
  <si>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</si>
  <si>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</si>
  <si>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</si>
  <si>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</si>
  <si>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</si>
  <si>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</si>
  <si>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</si>
  <si>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</si>
  <si>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</si>
  <si>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</si>
  <si>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</si>
  <si>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</si>
  <si>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</si>
  <si>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</si>
  <si>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</si>
  <si>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</si>
  <si>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</si>
  <si>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</si>
  <si>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</si>
  <si>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</si>
  <si>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</si>
  <si>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</si>
  <si>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</si>
  <si>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</si>
  <si>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</si>
  <si>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</si>
  <si>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</si>
  <si>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</si>
  <si>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</si>
  <si>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</si>
  <si>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</si>
  <si>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</si>
  <si>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</si>
  <si>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</si>
  <si>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</si>
  <si>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</si>
  <si>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</si>
  <si>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</si>
  <si>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</si>
  <si>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</si>
  <si>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</si>
  <si>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</si>
  <si>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</si>
  <si>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</si>
  <si>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</si>
  <si>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</si>
  <si>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</si>
  <si>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</si>
  <si>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</si>
  <si>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</si>
  <si>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</si>
  <si>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</si>
  <si>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</si>
  <si>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</si>
  <si>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</si>
  <si>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</si>
  <si>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</si>
  <si>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</si>
  <si>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</si>
  <si>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</si>
  <si>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</si>
  <si>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</si>
  <si>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</si>
  <si>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</si>
  <si>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</si>
  <si>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</si>
  <si>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</si>
  <si>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</si>
  <si>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</si>
  <si>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</si>
  <si>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</si>
  <si>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</si>
  <si>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</si>
  <si>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</si>
  <si>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</si>
  <si>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</si>
  <si>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</si>
  <si>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</si>
  <si>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</si>
  <si>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</si>
  <si>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</si>
  <si>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</si>
  <si>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</si>
  <si>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</si>
  <si>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</si>
  <si>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</si>
  <si>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</si>
  <si>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</si>
  <si>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</si>
  <si>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Photo-Graphics Co., Inc.</t>
  </si>
  <si>
    <t>Susan Willens</t>
  </si>
  <si>
    <t>susan@pgnameplates.com</t>
  </si>
  <si>
    <t>816-761-3333</t>
  </si>
  <si>
    <t>https://www.nameplates-labels.com/conflict-minerals_rohs</t>
  </si>
  <si>
    <t>n/a to our manufactured products</t>
  </si>
  <si>
    <t>All part numbers</t>
  </si>
  <si>
    <t>Nameplates and labels</t>
  </si>
  <si>
    <t>If applicable to our manufactured products</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</si>
</sst>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7">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0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susan@pgnameplate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nameplates-labels.com/conflict-minerals_rohs" TargetMode="External"/><Relationship Id="rId4" Type="http://schemas.openxmlformats.org/officeDocument/2006/relationships/hyperlink" Target="mailto:susan@pgnameplate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4"/>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2" sqref="B52"/>
    </sheetView>
  </sheetViews>
  <sheetFormatPr defaultColWidth="9" defaultRowHeight="12.6"/>
  <cols>
    <col min="1" max="1" width="0.81640625" style="113" customWidth="1"/>
    <col min="2" max="2" width="8" style="113" customWidth="1"/>
    <col min="3" max="3" width="8.6328125" style="113" customWidth="1"/>
    <col min="4" max="4" width="13" style="213" customWidth="1"/>
    <col min="5" max="5" width="42.36328125" style="113" customWidth="1"/>
    <col min="6" max="6" width="53.36328125" style="113" customWidth="1"/>
    <col min="7" max="7" width="0.81640625" style="113" customWidth="1"/>
    <col min="8" max="16384" width="9" style="113"/>
  </cols>
  <sheetData>
    <row r="1" spans="1:7" ht="13.2" thickTop="1">
      <c r="A1" s="9"/>
      <c r="B1" s="10"/>
      <c r="C1" s="10"/>
      <c r="D1" s="205"/>
      <c r="E1" s="10"/>
      <c r="F1" s="10"/>
      <c r="G1" s="11"/>
    </row>
    <row r="2" spans="1:7">
      <c r="A2" s="369"/>
      <c r="B2" s="38" t="s">
        <v>847</v>
      </c>
      <c r="C2" s="36"/>
      <c r="D2" s="206"/>
      <c r="E2" s="3"/>
      <c r="F2" s="36"/>
      <c r="G2" s="34"/>
    </row>
    <row r="3" spans="1:7">
      <c r="A3" s="369"/>
      <c r="B3" s="5" t="s">
        <v>839</v>
      </c>
      <c r="C3" s="6"/>
      <c r="D3" s="207"/>
      <c r="E3" s="3"/>
      <c r="F3" s="6"/>
      <c r="G3" s="34"/>
    </row>
    <row r="4" spans="1:7" ht="15">
      <c r="A4" s="369"/>
      <c r="B4" s="41" t="s">
        <v>849</v>
      </c>
      <c r="C4" s="7"/>
      <c r="D4" s="208"/>
      <c r="E4" s="3"/>
      <c r="F4" s="7"/>
      <c r="G4" s="34"/>
    </row>
    <row r="5" spans="1:7" ht="13.2">
      <c r="A5" s="369"/>
      <c r="B5" s="40" t="s">
        <v>1040</v>
      </c>
      <c r="C5" s="4"/>
      <c r="D5" s="209"/>
      <c r="E5" s="3"/>
      <c r="F5" s="4"/>
      <c r="G5" s="34"/>
    </row>
    <row r="6" spans="1:7">
      <c r="A6" s="369"/>
      <c r="B6" s="8"/>
      <c r="C6" s="8"/>
      <c r="D6" s="210"/>
      <c r="E6" s="8"/>
      <c r="F6" s="8"/>
      <c r="G6" s="34"/>
    </row>
    <row r="7" spans="1:7">
      <c r="A7" s="369"/>
      <c r="B7" s="8"/>
      <c r="C7" s="8"/>
      <c r="D7" s="210"/>
      <c r="E7" s="8"/>
      <c r="F7" s="8"/>
      <c r="G7" s="34"/>
    </row>
    <row r="8" spans="1:7">
      <c r="A8" s="369"/>
      <c r="B8" s="8"/>
      <c r="C8" s="8"/>
      <c r="D8" s="210"/>
      <c r="E8" s="8"/>
      <c r="F8" s="8"/>
      <c r="G8" s="34"/>
    </row>
    <row r="9" spans="1:7">
      <c r="A9" s="369"/>
      <c r="B9" s="372" t="s">
        <v>850</v>
      </c>
      <c r="C9" s="372"/>
      <c r="D9" s="372"/>
      <c r="E9" s="372"/>
      <c r="F9" s="372"/>
      <c r="G9" s="34"/>
    </row>
    <row r="10" spans="1:7" ht="27" customHeight="1">
      <c r="A10" s="369"/>
      <c r="B10" s="373" t="s">
        <v>438</v>
      </c>
      <c r="C10" s="373"/>
      <c r="D10" s="373"/>
      <c r="E10" s="373"/>
      <c r="F10" s="373"/>
      <c r="G10" s="34"/>
    </row>
    <row r="11" spans="1:7" ht="27" customHeight="1">
      <c r="A11" s="369"/>
      <c r="B11" s="374"/>
      <c r="C11" s="374"/>
      <c r="D11" s="374"/>
      <c r="E11" s="374"/>
      <c r="F11" s="374"/>
      <c r="G11" s="34"/>
    </row>
    <row r="12" spans="1:7">
      <c r="A12" s="369"/>
      <c r="B12" s="42" t="s">
        <v>848</v>
      </c>
      <c r="C12" s="43" t="s">
        <v>851</v>
      </c>
      <c r="D12" s="211" t="s">
        <v>852</v>
      </c>
      <c r="E12" s="43" t="s">
        <v>612</v>
      </c>
      <c r="F12" s="43" t="s">
        <v>613</v>
      </c>
      <c r="G12" s="34"/>
    </row>
    <row r="13" spans="1:7" ht="20.399999999999999">
      <c r="A13" s="369"/>
      <c r="B13" s="2">
        <v>1</v>
      </c>
      <c r="C13" s="37" t="s">
        <v>1088</v>
      </c>
      <c r="D13" s="39" t="s">
        <v>876</v>
      </c>
      <c r="E13" s="194" t="s">
        <v>853</v>
      </c>
      <c r="F13" s="194"/>
      <c r="G13" s="34"/>
    </row>
    <row r="14" spans="1:7" ht="30.6">
      <c r="A14" s="369"/>
      <c r="B14" s="2">
        <v>2</v>
      </c>
      <c r="C14" s="37" t="s">
        <v>1088</v>
      </c>
      <c r="D14" s="39" t="s">
        <v>1025</v>
      </c>
      <c r="E14" s="194" t="s">
        <v>530</v>
      </c>
      <c r="F14" s="194" t="s">
        <v>531</v>
      </c>
      <c r="G14" s="34"/>
    </row>
    <row r="15" spans="1:7" ht="89.1" customHeight="1">
      <c r="A15" s="369"/>
      <c r="B15" s="354">
        <v>2.0099999999999998</v>
      </c>
      <c r="C15" s="366" t="s">
        <v>1088</v>
      </c>
      <c r="D15" s="375" t="s">
        <v>2265</v>
      </c>
      <c r="E15" s="195" t="s">
        <v>614</v>
      </c>
      <c r="F15" s="195" t="s">
        <v>617</v>
      </c>
      <c r="G15" s="34"/>
    </row>
    <row r="16" spans="1:7" ht="99" customHeight="1">
      <c r="A16" s="369"/>
      <c r="B16" s="355"/>
      <c r="C16" s="367"/>
      <c r="D16" s="376"/>
      <c r="E16" s="196"/>
      <c r="F16" s="196" t="s">
        <v>615</v>
      </c>
      <c r="G16" s="34"/>
    </row>
    <row r="17" spans="1:7" ht="63" customHeight="1">
      <c r="A17" s="369"/>
      <c r="B17" s="356"/>
      <c r="C17" s="368"/>
      <c r="D17" s="377"/>
      <c r="E17" s="37"/>
      <c r="F17" s="37" t="s">
        <v>616</v>
      </c>
      <c r="G17" s="34"/>
    </row>
    <row r="18" spans="1:7" ht="117" customHeight="1">
      <c r="A18" s="369"/>
      <c r="B18" s="354">
        <v>2.02</v>
      </c>
      <c r="C18" s="366" t="s">
        <v>1088</v>
      </c>
      <c r="D18" s="375" t="s">
        <v>2266</v>
      </c>
      <c r="E18" s="195" t="s">
        <v>439</v>
      </c>
      <c r="F18" s="195" t="s">
        <v>525</v>
      </c>
      <c r="G18" s="34"/>
    </row>
    <row r="19" spans="1:7" ht="71.099999999999994" customHeight="1">
      <c r="A19" s="369"/>
      <c r="B19" s="355"/>
      <c r="C19" s="367"/>
      <c r="D19" s="376"/>
      <c r="E19" s="196" t="s">
        <v>529</v>
      </c>
      <c r="F19" s="196" t="s">
        <v>440</v>
      </c>
      <c r="G19" s="34"/>
    </row>
    <row r="20" spans="1:7" ht="90.75" customHeight="1">
      <c r="A20" s="369"/>
      <c r="B20" s="355"/>
      <c r="C20" s="367"/>
      <c r="D20" s="376"/>
      <c r="E20" s="196"/>
      <c r="F20" s="196" t="s">
        <v>619</v>
      </c>
      <c r="G20" s="34"/>
    </row>
    <row r="21" spans="1:7" ht="74.25" customHeight="1">
      <c r="A21" s="369"/>
      <c r="B21" s="356"/>
      <c r="C21" s="368"/>
      <c r="D21" s="377"/>
      <c r="E21" s="37"/>
      <c r="F21" s="37" t="s">
        <v>618</v>
      </c>
      <c r="G21" s="34"/>
    </row>
    <row r="22" spans="1:7" ht="90" customHeight="1">
      <c r="A22" s="369"/>
      <c r="B22" s="360">
        <v>2.0299999999999998</v>
      </c>
      <c r="C22" s="360" t="s">
        <v>822</v>
      </c>
      <c r="D22" s="363" t="s">
        <v>2267</v>
      </c>
      <c r="E22" s="366" t="s">
        <v>437</v>
      </c>
      <c r="F22" s="195" t="s">
        <v>460</v>
      </c>
      <c r="G22" s="34"/>
    </row>
    <row r="23" spans="1:7" ht="109.5" customHeight="1">
      <c r="A23" s="369"/>
      <c r="B23" s="361"/>
      <c r="C23" s="361"/>
      <c r="D23" s="364"/>
      <c r="E23" s="367"/>
      <c r="F23" s="196" t="s">
        <v>823</v>
      </c>
      <c r="G23" s="34"/>
    </row>
    <row r="24" spans="1:7" ht="74.25" customHeight="1">
      <c r="A24" s="369"/>
      <c r="B24" s="362"/>
      <c r="C24" s="362"/>
      <c r="D24" s="365"/>
      <c r="E24" s="368"/>
      <c r="F24" s="37" t="s">
        <v>436</v>
      </c>
      <c r="G24" s="34"/>
    </row>
    <row r="25" spans="1:7" ht="72" customHeight="1">
      <c r="A25" s="369"/>
      <c r="B25" s="2" t="s">
        <v>458</v>
      </c>
      <c r="C25" s="37" t="s">
        <v>459</v>
      </c>
      <c r="D25" s="39" t="s">
        <v>2268</v>
      </c>
      <c r="E25" s="37" t="s">
        <v>2263</v>
      </c>
      <c r="F25" s="37" t="s">
        <v>461</v>
      </c>
      <c r="G25" s="34"/>
    </row>
    <row r="26" spans="1:7" ht="98.1" customHeight="1">
      <c r="A26" s="369"/>
      <c r="B26" s="357">
        <v>3</v>
      </c>
      <c r="C26" s="354" t="s">
        <v>70</v>
      </c>
      <c r="D26" s="375" t="s">
        <v>2269</v>
      </c>
      <c r="E26" s="366" t="s">
        <v>0</v>
      </c>
      <c r="F26" s="195" t="s">
        <v>64</v>
      </c>
      <c r="G26" s="34"/>
    </row>
    <row r="27" spans="1:7" ht="90" customHeight="1">
      <c r="A27" s="369"/>
      <c r="B27" s="358"/>
      <c r="C27" s="355"/>
      <c r="D27" s="376"/>
      <c r="E27" s="367"/>
      <c r="F27" s="196" t="s">
        <v>59</v>
      </c>
      <c r="G27" s="34"/>
    </row>
    <row r="28" spans="1:7" ht="19.350000000000001" customHeight="1">
      <c r="A28" s="369"/>
      <c r="B28" s="358"/>
      <c r="C28" s="355"/>
      <c r="D28" s="376"/>
      <c r="E28" s="367"/>
      <c r="F28" s="196" t="s">
        <v>60</v>
      </c>
      <c r="G28" s="34"/>
    </row>
    <row r="29" spans="1:7" ht="74.55" customHeight="1">
      <c r="A29" s="369"/>
      <c r="B29" s="358"/>
      <c r="C29" s="355"/>
      <c r="D29" s="376"/>
      <c r="E29" s="367"/>
      <c r="F29" s="196" t="s">
        <v>61</v>
      </c>
      <c r="G29" s="34"/>
    </row>
    <row r="30" spans="1:7" ht="62.55" customHeight="1">
      <c r="A30" s="369"/>
      <c r="B30" s="358"/>
      <c r="C30" s="355"/>
      <c r="D30" s="376"/>
      <c r="E30" s="367"/>
      <c r="F30" s="196" t="s">
        <v>62</v>
      </c>
      <c r="G30" s="34"/>
    </row>
    <row r="31" spans="1:7" ht="81" customHeight="1">
      <c r="A31" s="369"/>
      <c r="B31" s="358"/>
      <c r="C31" s="355"/>
      <c r="D31" s="376"/>
      <c r="E31" s="367"/>
      <c r="F31" s="196" t="s">
        <v>63</v>
      </c>
      <c r="G31" s="34"/>
    </row>
    <row r="32" spans="1:7" ht="48.75" customHeight="1">
      <c r="A32" s="369"/>
      <c r="B32" s="358"/>
      <c r="C32" s="355"/>
      <c r="D32" s="376"/>
      <c r="E32" s="367"/>
      <c r="F32" s="196" t="s">
        <v>66</v>
      </c>
      <c r="G32" s="34"/>
    </row>
    <row r="33" spans="1:7" ht="98.55" customHeight="1">
      <c r="A33" s="369"/>
      <c r="B33" s="358"/>
      <c r="C33" s="355"/>
      <c r="D33" s="376"/>
      <c r="E33" s="367"/>
      <c r="F33" s="196" t="s">
        <v>65</v>
      </c>
      <c r="G33" s="34"/>
    </row>
    <row r="34" spans="1:7" ht="89.1" customHeight="1">
      <c r="A34" s="369"/>
      <c r="B34" s="358"/>
      <c r="C34" s="355"/>
      <c r="D34" s="376"/>
      <c r="E34" s="367"/>
      <c r="F34" s="196" t="s">
        <v>67</v>
      </c>
      <c r="G34" s="34"/>
    </row>
    <row r="35" spans="1:7" ht="29.1" customHeight="1">
      <c r="A35" s="369"/>
      <c r="B35" s="358"/>
      <c r="C35" s="355"/>
      <c r="D35" s="376"/>
      <c r="E35" s="367"/>
      <c r="F35" s="196" t="s">
        <v>68</v>
      </c>
      <c r="G35" s="34"/>
    </row>
    <row r="36" spans="1:7" ht="112.2">
      <c r="A36" s="369"/>
      <c r="B36" s="359"/>
      <c r="C36" s="356"/>
      <c r="D36" s="377"/>
      <c r="E36" s="368"/>
      <c r="F36" s="197" t="s">
        <v>69</v>
      </c>
      <c r="G36" s="34"/>
    </row>
    <row r="37" spans="1:7" ht="102">
      <c r="A37" s="369"/>
      <c r="B37" s="170">
        <v>3.01</v>
      </c>
      <c r="C37" s="171" t="s">
        <v>70</v>
      </c>
      <c r="D37" s="39" t="s">
        <v>2270</v>
      </c>
      <c r="E37" s="198" t="s">
        <v>1328</v>
      </c>
      <c r="F37" s="199" t="s">
        <v>1434</v>
      </c>
      <c r="G37" s="34"/>
    </row>
    <row r="38" spans="1:7" ht="81.599999999999994">
      <c r="A38" s="369"/>
      <c r="B38" s="170">
        <v>3.02</v>
      </c>
      <c r="C38" s="171" t="s">
        <v>1361</v>
      </c>
      <c r="D38" s="39" t="s">
        <v>2271</v>
      </c>
      <c r="E38" s="198" t="s">
        <v>1376</v>
      </c>
      <c r="F38" s="199" t="s">
        <v>1435</v>
      </c>
      <c r="G38" s="34"/>
    </row>
    <row r="39" spans="1:7" ht="81.599999999999994">
      <c r="A39" s="369"/>
      <c r="B39" s="180">
        <v>4</v>
      </c>
      <c r="C39" s="179" t="s">
        <v>1531</v>
      </c>
      <c r="D39" s="39" t="s">
        <v>2272</v>
      </c>
      <c r="E39" s="37" t="s">
        <v>2215</v>
      </c>
      <c r="F39" s="37" t="s">
        <v>1532</v>
      </c>
      <c r="G39" s="34"/>
    </row>
    <row r="40" spans="1:7" ht="40.799999999999997">
      <c r="A40" s="369"/>
      <c r="B40" s="170">
        <v>4.01</v>
      </c>
      <c r="C40" s="179" t="s">
        <v>1531</v>
      </c>
      <c r="D40" s="39" t="s">
        <v>2274</v>
      </c>
      <c r="E40" s="37" t="s">
        <v>2229</v>
      </c>
      <c r="F40" s="37" t="s">
        <v>2233</v>
      </c>
      <c r="G40" s="34"/>
    </row>
    <row r="41" spans="1:7" ht="40.799999999999997">
      <c r="A41" s="369"/>
      <c r="B41" s="170" t="s">
        <v>2261</v>
      </c>
      <c r="C41" s="179" t="s">
        <v>1531</v>
      </c>
      <c r="D41" s="39" t="s">
        <v>2273</v>
      </c>
      <c r="E41" s="37" t="s">
        <v>2264</v>
      </c>
      <c r="F41" s="37" t="s">
        <v>2262</v>
      </c>
      <c r="G41" s="34"/>
    </row>
    <row r="42" spans="1:7" ht="40.799999999999997">
      <c r="A42" s="369"/>
      <c r="B42" s="170" t="s">
        <v>2299</v>
      </c>
      <c r="C42" s="179" t="s">
        <v>1531</v>
      </c>
      <c r="D42" s="39" t="s">
        <v>2306</v>
      </c>
      <c r="E42" s="37" t="s">
        <v>2263</v>
      </c>
      <c r="F42" s="37" t="s">
        <v>2300</v>
      </c>
      <c r="G42" s="34"/>
    </row>
    <row r="43" spans="1:7" ht="112.2">
      <c r="A43" s="369"/>
      <c r="B43" s="191">
        <v>4.0999999999999996</v>
      </c>
      <c r="C43" s="179" t="s">
        <v>2305</v>
      </c>
      <c r="D43" s="192">
        <v>42867</v>
      </c>
      <c r="E43" s="200" t="s">
        <v>2308</v>
      </c>
      <c r="F43" s="37" t="s">
        <v>2307</v>
      </c>
      <c r="G43" s="34"/>
    </row>
    <row r="44" spans="1:7" ht="71.400000000000006">
      <c r="A44" s="369"/>
      <c r="B44" s="191">
        <v>4.2</v>
      </c>
      <c r="C44" s="179" t="s">
        <v>2305</v>
      </c>
      <c r="D44" s="192">
        <v>42704</v>
      </c>
      <c r="E44" s="200" t="s">
        <v>2510</v>
      </c>
      <c r="F44" s="37" t="s">
        <v>2485</v>
      </c>
      <c r="G44" s="34"/>
    </row>
    <row r="45" spans="1:7" ht="132.6">
      <c r="A45" s="369"/>
      <c r="B45" s="240">
        <v>5</v>
      </c>
      <c r="C45" s="179" t="s">
        <v>2305</v>
      </c>
      <c r="D45" s="192">
        <v>42867</v>
      </c>
      <c r="E45" s="200" t="s">
        <v>12917</v>
      </c>
      <c r="F45" s="37" t="s">
        <v>12639</v>
      </c>
      <c r="G45" s="34"/>
    </row>
    <row r="46" spans="1:7" ht="30.6">
      <c r="A46" s="369"/>
      <c r="B46" s="191">
        <v>5.01</v>
      </c>
      <c r="C46" s="179" t="s">
        <v>2305</v>
      </c>
      <c r="D46" s="192">
        <v>42907</v>
      </c>
      <c r="E46" s="200" t="s">
        <v>12935</v>
      </c>
      <c r="F46" s="37" t="s">
        <v>12639</v>
      </c>
      <c r="G46" s="34"/>
    </row>
    <row r="47" spans="1:7" ht="61.2">
      <c r="A47" s="369"/>
      <c r="B47" s="191">
        <v>5.0999999999999996</v>
      </c>
      <c r="C47" s="179" t="s">
        <v>2305</v>
      </c>
      <c r="D47" s="192">
        <v>43070</v>
      </c>
      <c r="E47" s="200" t="s">
        <v>13129</v>
      </c>
      <c r="F47" s="37" t="s">
        <v>13130</v>
      </c>
      <c r="G47" s="34"/>
    </row>
    <row r="48" spans="1:7" ht="51">
      <c r="A48" s="369"/>
      <c r="B48" s="191">
        <v>5.1100000000000003</v>
      </c>
      <c r="C48" s="179" t="s">
        <v>13371</v>
      </c>
      <c r="D48" s="192">
        <v>43217</v>
      </c>
      <c r="E48" s="200" t="s">
        <v>13499</v>
      </c>
      <c r="F48" s="37" t="s">
        <v>13405</v>
      </c>
      <c r="G48" s="34"/>
    </row>
    <row r="49" spans="1:7" ht="51">
      <c r="A49" s="369"/>
      <c r="B49" s="191">
        <v>5.12</v>
      </c>
      <c r="C49" s="179" t="s">
        <v>13371</v>
      </c>
      <c r="D49" s="192">
        <v>43581</v>
      </c>
      <c r="E49" s="200" t="s">
        <v>13499</v>
      </c>
      <c r="F49" s="37" t="s">
        <v>14064</v>
      </c>
      <c r="G49" s="34"/>
    </row>
    <row r="50" spans="1:7" ht="71.400000000000006">
      <c r="A50" s="369"/>
      <c r="B50" s="240">
        <v>6</v>
      </c>
      <c r="C50" s="179" t="s">
        <v>13371</v>
      </c>
      <c r="D50" s="192">
        <v>43964</v>
      </c>
      <c r="E50" s="200" t="s">
        <v>14291</v>
      </c>
      <c r="F50" s="37" t="s">
        <v>14074</v>
      </c>
      <c r="G50" s="34"/>
    </row>
    <row r="51" spans="1:7" ht="40.799999999999997">
      <c r="A51" s="369"/>
      <c r="B51" s="191">
        <v>6.01</v>
      </c>
      <c r="C51" s="179" t="s">
        <v>13371</v>
      </c>
      <c r="D51" s="192">
        <v>43970</v>
      </c>
      <c r="E51" s="200" t="s">
        <v>15309</v>
      </c>
      <c r="F51" s="200" t="s">
        <v>14074</v>
      </c>
      <c r="G51" s="34"/>
    </row>
    <row r="52" spans="1:7" ht="40.799999999999997">
      <c r="A52" s="369"/>
      <c r="B52" s="191">
        <v>6.1</v>
      </c>
      <c r="C52" s="179" t="s">
        <v>13371</v>
      </c>
      <c r="D52" s="192">
        <v>44314</v>
      </c>
      <c r="E52" s="200" t="s">
        <v>15314</v>
      </c>
      <c r="F52" s="200" t="s">
        <v>15319</v>
      </c>
      <c r="G52" s="34"/>
    </row>
    <row r="53" spans="1:7" ht="13.2" thickBot="1">
      <c r="A53" s="370"/>
      <c r="B53" s="371" t="str">
        <f ca="1">OFFSET(L!$C$1,MATCH("General"&amp;"Cpy",L!$A:$A,0)-1,SL,,)</f>
        <v>© 2021 Responsible Minerals Initiative. All rights reserved.</v>
      </c>
      <c r="C53" s="371"/>
      <c r="D53" s="371"/>
      <c r="E53" s="371"/>
      <c r="F53" s="371"/>
      <c r="G53" s="35"/>
    </row>
    <row r="54" spans="1:7" ht="13.2"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04" workbookViewId="0">
      <selection activeCell="B134" sqref="B134"/>
    </sheetView>
  </sheetViews>
  <sheetFormatPr defaultColWidth="8.81640625" defaultRowHeight="12.6"/>
  <cols>
    <col min="1" max="1" width="20.6328125" style="76" customWidth="1"/>
    <col min="2" max="2" width="57.1796875" style="76" customWidth="1"/>
    <col min="3" max="16384" width="8.8164062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4735" workbookViewId="0">
      <selection activeCell="O4751" sqref="O4751"/>
    </sheetView>
  </sheetViews>
  <sheetFormatPr defaultColWidth="8.81640625" defaultRowHeight="12.6"/>
  <cols>
    <col min="1" max="1" width="11.1796875" customWidth="1"/>
    <col min="2" max="2" width="25.726562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2.4">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5.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6.2">
      <c r="A5" s="125"/>
      <c r="B5" s="114"/>
    </row>
    <row r="6" spans="1:2" ht="32.4">
      <c r="A6" s="124" t="str">
        <f ca="1">OFFSET(L!$C$1,MATCH("Instructions"&amp;ADDRESS(ROW(),COLUMN(),4),L!$A:$A,0)-1,SL,,)</f>
        <v>Instructions for completing Company Information questions (rows 8 - 22).
Provide comments in ENGLISH only</v>
      </c>
      <c r="B6" s="114" t="s">
        <v>1304</v>
      </c>
    </row>
    <row r="7" spans="1:2" ht="16.2">
      <c r="A7" s="289" t="str">
        <f ca="1">OFFSET(L!$C$1,MATCH("Instructions"&amp;ADDRESS(ROW(),COLUMN(),4),L!$A:$A,0)-1,SL,,)</f>
        <v xml:space="preserve">Note:  Entries with (*) are mandatory fields. </v>
      </c>
      <c r="B7" s="114"/>
    </row>
    <row r="8" spans="1:2" ht="32.4">
      <c r="A8" s="121" t="str">
        <f ca="1">OFFSET(L!$C$1,MATCH("Instructions"&amp;ADDRESS(ROW(),COLUMN(),4),L!$A:$A,0)-1,SL,,)</f>
        <v>1. Insert your company's Legal Name.  Please do not use abbreviations. In this field you have the option to add other commercial names, DBAs, etc.</v>
      </c>
      <c r="B8" s="114"/>
    </row>
    <row r="9" spans="1:2" ht="337.95"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2.4">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2.4">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8.6">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6.2">
      <c r="A17" s="121" t="str">
        <f ca="1">OFFSET(L!$C$1,MATCH("Instructions"&amp;ADDRESS(ROW(),COLUMN(),4),L!$A:$A,0)-1,SL,,)</f>
        <v>10. Insert the title for the Authorizing person. This field is optional.</v>
      </c>
      <c r="B17" s="114"/>
    </row>
    <row r="18" spans="1:2" ht="32.4">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6.2">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2.4">
      <c r="A21" s="121" t="str">
        <f ca="1">OFFSET(L!$C$1,MATCH("Instructions"&amp;ADDRESS(ROW(),COLUMN(),4),L!$A:$A,0)-1,SL,,)</f>
        <v xml:space="preserve">14. As an example, the user may save the file name as:  companyname-date.xls (date as YYYY-MM-DD).  </v>
      </c>
      <c r="B21" s="114" t="s">
        <v>1304</v>
      </c>
    </row>
    <row r="22" spans="1:2" ht="16.2">
      <c r="A22" s="125"/>
      <c r="B22" s="114"/>
    </row>
    <row r="23" spans="1:2" ht="32.4">
      <c r="A23" s="124" t="str">
        <f ca="1">OFFSET(L!$C$1,MATCH("Instructions"&amp;ADDRESS(ROW(),COLUMN(),4),L!$A:$A,0)-1,SL,,)</f>
        <v>Instructions for completing the eight Due Diligence Questions (rows 24 - 71).
Provide answers in ENGLISH only</v>
      </c>
      <c r="B23" s="114" t="s">
        <v>1304</v>
      </c>
    </row>
    <row r="24" spans="1:2" ht="80.5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2.4">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29.6">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94.4">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81">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4.8">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6.2">
      <c r="A36" s="125"/>
      <c r="B36" s="114"/>
    </row>
    <row r="37" spans="1:2" ht="48.6">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45.80000000000001">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4.8">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5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81">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62">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62">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45.80000000000001">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9.6">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6.2">
      <c r="A47" s="125"/>
      <c r="B47" s="114"/>
    </row>
    <row r="48" spans="1:2" ht="32.4">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4.8">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55" customHeight="1">
      <c r="A52" s="121" t="str">
        <f ca="1">OFFSET(L!$C$1,MATCH("Instructions"&amp;ADDRESS(ROW(),COLUMN(),4),L!$A:$A,0)-1,SL,,)</f>
        <v>2. Metal (*)   -   Use the pull down menu to select the metal for which you are entering smelter information.  This field is mandatory.</v>
      </c>
      <c r="B52" s="114"/>
    </row>
    <row r="53" spans="1:2" ht="79.0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4.8">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81">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4.8">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4.8">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4.8">
      <c r="A58" s="121" t="str">
        <f ca="1">OFFSET(L!$C$1,MATCH("Instructions"&amp;ADDRESS(ROW(),COLUMN(),4),L!$A:$A,0)-1,SL,,)</f>
        <v>8. Smelter Street -  Provide the street name on which the smelter is located. This field is optional.</v>
      </c>
      <c r="B58" s="114" t="s">
        <v>1303</v>
      </c>
    </row>
    <row r="59" spans="1:2" ht="32.4">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62">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4.8">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9.0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5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6.2">
      <c r="A67" s="126"/>
      <c r="B67" s="114"/>
    </row>
    <row r="68" spans="1:2" s="28" customFormat="1" ht="34.5" customHeight="1">
      <c r="A68" s="124" t="str">
        <f ca="1">OFFSET(L!$C$1,MATCH("Instructions"&amp;ADDRESS(ROW(),COLUMN(),4),L!$A:$A,0)-1,SL,,)</f>
        <v>TERMS AND CONDITIONS</v>
      </c>
      <c r="B68" s="114"/>
    </row>
    <row r="69" spans="1:2" s="28" customFormat="1" ht="16.2">
      <c r="A69" s="126"/>
      <c r="B69" s="114"/>
    </row>
    <row r="70" spans="1:2" ht="80.5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2.05000000000001"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81">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2.4">
      <c r="A74" s="121"/>
      <c r="B74" s="114" t="s">
        <v>441</v>
      </c>
    </row>
    <row r="75" spans="1:2" ht="16.2">
      <c r="A75" s="121" t="str">
        <f ca="1">OFFSET(L!$C$1,MATCH("General"&amp;"Cpy",L!$A:$A,0)-1,SL,,)</f>
        <v>© 2021 Responsible Minerals Initiative. All rights reserved.</v>
      </c>
      <c r="B75" s="115"/>
    </row>
    <row r="76" spans="1:2" ht="16.2">
      <c r="A76" s="122" t="s">
        <v>1035</v>
      </c>
      <c r="B76" s="115"/>
    </row>
    <row r="77" spans="1:2" ht="16.8"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1640625" defaultRowHeight="12.6"/>
  <cols>
    <col min="1" max="1" width="1.6328125" style="113" customWidth="1"/>
    <col min="2" max="2" width="35.6328125" style="113" customWidth="1"/>
    <col min="3" max="3" width="105.6328125" style="113" customWidth="1"/>
    <col min="4" max="5" width="1.6328125" style="113" customWidth="1"/>
    <col min="6" max="6" width="4.6328125" style="113" customWidth="1"/>
    <col min="7" max="7" width="4.81640625" style="113" customWidth="1"/>
    <col min="8" max="16384" width="8.81640625" style="113"/>
  </cols>
  <sheetData>
    <row r="1" spans="1:5" ht="13.2" thickTop="1">
      <c r="A1" s="378"/>
      <c r="B1" s="379"/>
      <c r="C1" s="379"/>
      <c r="D1" s="380"/>
    </row>
    <row r="2" spans="1:5" ht="71.25" customHeight="1">
      <c r="A2" s="87"/>
      <c r="B2" s="166" t="str">
        <f ca="1">OFFSET(L!$C$1,MATCH("Definitions"&amp;ADDRESS(ROW(),COLUMN(),4),L!$A:$A,0)-1,SL,,)</f>
        <v>ITEM</v>
      </c>
      <c r="C2" s="166" t="str">
        <f ca="1">OFFSET(L!$C$1,MATCH("Definitions"&amp;ADDRESS(ROW(),COLUMN(),4),L!$A:$A,0)-1,SL,,)</f>
        <v>DEFINITION</v>
      </c>
      <c r="D2" s="382"/>
      <c r="E2" s="127"/>
    </row>
    <row r="3" spans="1:5" ht="64.05" customHeight="1">
      <c r="A3" s="87"/>
      <c r="B3" s="74" t="str">
        <f ca="1">OFFSET(L!$C$1,MATCH("Definitions"&amp;ADDRESS(ROW(),COLUMN(),4),L!$A:$A,0)-1,SL,,)</f>
        <v>3TG</v>
      </c>
      <c r="C3" s="74" t="str">
        <f ca="1">OFFSET(L!$C$1,MATCH("Definitions"&amp;ADDRESS(ROW(),COLUMN(),4),L!$A:$A,0)-1,SL,,)</f>
        <v>Tantalum, tin, tungsten, gold</v>
      </c>
      <c r="D3" s="382"/>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2"/>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2"/>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2"/>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2"/>
      <c r="E7" s="128" t="s">
        <v>1313</v>
      </c>
    </row>
    <row r="8" spans="1:5" ht="145.80000000000001">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2"/>
      <c r="E8" s="128" t="s">
        <v>1316</v>
      </c>
    </row>
    <row r="9" spans="1:5" ht="64.8">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2"/>
      <c r="E9" s="128" t="s">
        <v>1313</v>
      </c>
    </row>
    <row r="10" spans="1:5" ht="48.6">
      <c r="A10" s="87"/>
      <c r="B10" s="74" t="str">
        <f ca="1">OFFSET(L!$C$1,MATCH("Definitions"&amp;ADDRESS(ROW(),COLUMN(),4),L!$A:$A,0)-1,SL,,)</f>
        <v>DRC</v>
      </c>
      <c r="C10" s="74" t="str">
        <f ca="1">OFFSET(L!$C$1,MATCH("Definitions"&amp;ADDRESS(ROW(),COLUMN(),4),L!$A:$A,0)-1,SL,,)</f>
        <v>Democratic Republic of Congo</v>
      </c>
      <c r="D10" s="382"/>
      <c r="E10" s="128" t="s">
        <v>1312</v>
      </c>
    </row>
    <row r="11" spans="1:5" ht="64.8"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2"/>
      <c r="E11" s="128" t="s">
        <v>1312</v>
      </c>
    </row>
    <row r="12" spans="1:5" ht="64.8">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2"/>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2"/>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2"/>
      <c r="E14" s="128" t="s">
        <v>1312</v>
      </c>
    </row>
    <row r="15" spans="1:5" ht="143.55000000000001"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2"/>
      <c r="E15" s="128" t="s">
        <v>1312</v>
      </c>
    </row>
    <row r="16" spans="1:5" ht="64.8">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2"/>
      <c r="E16" s="128" t="s">
        <v>1312</v>
      </c>
    </row>
    <row r="17" spans="1:5" ht="194.4">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2"/>
      <c r="E17" s="128" t="s">
        <v>1312</v>
      </c>
    </row>
    <row r="18" spans="1:5" ht="162">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2"/>
      <c r="E18" s="128" t="s">
        <v>1312</v>
      </c>
    </row>
    <row r="19" spans="1:5" ht="16.2">
      <c r="A19" s="87"/>
      <c r="B19" s="74" t="str">
        <f ca="1">OFFSET(L!$C$1,MATCH("Definitions"&amp;ADDRESS(ROW(),COLUMN(),4),L!$A:$A,0)-1,SL,,)</f>
        <v>OECD</v>
      </c>
      <c r="C19" s="74" t="str">
        <f ca="1">OFFSET(L!$C$1,MATCH("Definitions"&amp;ADDRESS(ROW(),COLUMN(),4),L!$A:$A,0)-1,SL,,)</f>
        <v>Organisation for Economic Co-operation and Development</v>
      </c>
      <c r="D19" s="382"/>
      <c r="E19" s="128"/>
    </row>
    <row r="20" spans="1:5" ht="32.4">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2"/>
      <c r="E20" s="128"/>
    </row>
    <row r="21" spans="1:5" ht="16.2">
      <c r="A21" s="87"/>
      <c r="B21" s="74" t="str">
        <f ca="1">OFFSET(L!$C$1,MATCH("Definitions"&amp;ADDRESS(ROW(),COLUMN(),4),L!$A:$A,0)-1,SL,,)</f>
        <v>RBA</v>
      </c>
      <c r="C21" s="74" t="str">
        <f ca="1">OFFSET(L!$C$1,MATCH("Definitions"&amp;ADDRESS(ROW(),COLUMN(),4),L!$A:$A,0)-1,SL,,)</f>
        <v>Responsible Business Alliance (www.responsiblebusiness.org)</v>
      </c>
      <c r="D21" s="382"/>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2"/>
      <c r="E22" s="128"/>
    </row>
    <row r="23" spans="1:5" ht="64.8">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2"/>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2"/>
      <c r="E24" s="128"/>
    </row>
    <row r="25" spans="1:5" ht="154.05000000000001"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2"/>
      <c r="E25" s="128" t="s">
        <v>1312</v>
      </c>
    </row>
    <row r="26" spans="1:5" ht="81">
      <c r="A26" s="87"/>
      <c r="B26" s="74" t="str">
        <f ca="1">OFFSET(L!$C$1,MATCH("Definitions"&amp;ADDRESS(ROW(),COLUMN(),4),L!$A:$A,0)-1,SL,,)</f>
        <v>SEC</v>
      </c>
      <c r="C26" s="74" t="str">
        <f ca="1">OFFSET(L!$C$1,MATCH("Definitions"&amp;ADDRESS(ROW(),COLUMN(),4),L!$A:$A,0)-1,SL,,)</f>
        <v>U.S. Securities and Exchange Commission (www.sec.gov)</v>
      </c>
      <c r="D26" s="382"/>
      <c r="E26" s="128" t="s">
        <v>1314</v>
      </c>
    </row>
    <row r="27" spans="1:5" ht="76.05"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2"/>
      <c r="E27" s="128" t="s">
        <v>1312</v>
      </c>
    </row>
    <row r="28" spans="1:5" ht="64.8">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2"/>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2"/>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2"/>
      <c r="E30" s="128" t="s">
        <v>1315</v>
      </c>
    </row>
    <row r="31" spans="1:5" ht="136.94999999999999"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2"/>
      <c r="E31" s="128"/>
    </row>
    <row r="32" spans="1:5" ht="16.2">
      <c r="A32" s="87"/>
      <c r="B32" s="381" t="str">
        <f ca="1">OFFSET(L!$C$1,MATCH("General"&amp;"Cpy",L!$A:$A,0)-1,SL,,)</f>
        <v>© 2021 Responsible Minerals Initiative. All rights reserved.</v>
      </c>
      <c r="C32" s="381"/>
      <c r="D32" s="382"/>
      <c r="E32" s="128"/>
    </row>
    <row r="33" spans="1:4" ht="13.2" thickBot="1">
      <c r="A33" s="88"/>
      <c r="B33" s="183"/>
      <c r="C33" s="183"/>
      <c r="D33" s="383"/>
    </row>
    <row r="34" spans="1:4" ht="13.2" thickTop="1"/>
  </sheetData>
  <sheetProtection algorithmName="SHA-512" hashValue="4to0gD/6uarl203LqFtWUNspEFoXTeZhz3njRXAiRG7NcKjeVZVM0UtSJ8fI1h8tTCAMYOqsH2h/t5siT4+pVg==" saltValue="OwQHTyBaMDAE/yvzGrcamA=="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topLeftCell="B79" zoomScalePageLayoutView="70" workbookViewId="0">
      <selection activeCell="G87" sqref="G87:J87"/>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style="113" hidden="1" customWidth="1"/>
    <col min="13" max="15" width="4.81640625" style="113" hidden="1" customWidth="1"/>
    <col min="16" max="23" width="9.1796875" hidden="1" customWidth="1"/>
    <col min="24" max="24" width="9.1796875" customWidth="1"/>
  </cols>
  <sheetData>
    <row r="1" spans="1:34" ht="16.8" thickTop="1">
      <c r="A1" s="406"/>
      <c r="B1" s="407"/>
      <c r="C1" s="407"/>
      <c r="D1" s="407"/>
      <c r="E1" s="407"/>
      <c r="F1" s="407"/>
      <c r="G1" s="407"/>
      <c r="H1" s="407"/>
      <c r="I1" s="407"/>
      <c r="J1" s="407"/>
      <c r="K1" s="408"/>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09" t="str">
        <f ca="1">OFFSET(L!$C$1,MATCH("Declaration"&amp;ADDRESS(ROW(),COLUMN(),4),L!$A:$A,0)-1,SL,,)</f>
        <v>Conflict Minerals Reporting Template (CMRT)</v>
      </c>
      <c r="E2" s="410"/>
      <c r="F2" s="410"/>
      <c r="G2" s="410"/>
      <c r="H2" s="410"/>
      <c r="I2" s="410"/>
      <c r="J2" s="411"/>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19"/>
      <c r="G3" s="419"/>
      <c r="H3" s="419"/>
      <c r="I3" s="182"/>
      <c r="J3" s="167" t="s">
        <v>15318</v>
      </c>
      <c r="K3" s="47"/>
      <c r="L3" s="139"/>
      <c r="M3" s="130"/>
      <c r="N3" s="130"/>
      <c r="O3" s="131"/>
      <c r="P3" s="144">
        <f>MATCH($D$3,LN,0)</f>
        <v>1</v>
      </c>
    </row>
    <row r="4" spans="1:34" ht="16.2">
      <c r="A4" s="45"/>
      <c r="B4" s="415" t="str">
        <f ca="1">OFFSET(L!$C$1,MATCH("Declaration"&amp;ADDRESS(ROW(),COLUMN(),4),L!$A:$A,0)-1,SL,,)</f>
        <v>The purpose of this document is to collect sourcing information on tin, tantalum, tungsten and gold used in products</v>
      </c>
      <c r="C4" s="415"/>
      <c r="D4" s="415"/>
      <c r="E4" s="415"/>
      <c r="F4" s="415"/>
      <c r="G4" s="415"/>
      <c r="H4" s="415"/>
      <c r="I4" s="420" t="str">
        <f ca="1">OFFSET(L!$C$1,MATCH("Declaration"&amp;ADDRESS(ROW(),COLUMN(),4),L!$A:$A,0)-1,SL,,)</f>
        <v>Link to Terms &amp; Conditions</v>
      </c>
      <c r="J4" s="420"/>
      <c r="K4" s="47"/>
      <c r="L4" s="141"/>
      <c r="M4" s="130"/>
      <c r="N4" s="130"/>
      <c r="O4" s="131"/>
      <c r="P4" s="12"/>
      <c r="Q4" s="12"/>
      <c r="R4" s="12"/>
      <c r="S4" s="12"/>
      <c r="T4" s="12"/>
      <c r="U4" s="12"/>
      <c r="V4" s="12"/>
      <c r="W4" s="12"/>
      <c r="X4" s="12"/>
      <c r="Y4" s="12"/>
      <c r="Z4" s="12"/>
      <c r="AA4" s="12"/>
      <c r="AB4" s="12"/>
      <c r="AC4" s="12"/>
      <c r="AD4" s="12"/>
      <c r="AE4" s="12"/>
      <c r="AF4" s="12"/>
      <c r="AG4" s="12"/>
      <c r="AH4" s="12"/>
    </row>
    <row r="5" spans="1:34" ht="16.2">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2.4">
      <c r="A6" s="45"/>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7.049999999999997" customHeight="1">
      <c r="A7" s="45"/>
      <c r="B7" s="424" t="str">
        <f ca="1">OFFSET(L!$C$1,MATCH("Declaration"&amp;ADDRESS(ROW(),COLUMN(),4),L!$A:$A,0)-1,SL,,)</f>
        <v>Company Information</v>
      </c>
      <c r="C7" s="424"/>
      <c r="D7" s="424"/>
      <c r="E7" s="424"/>
      <c r="F7" s="424"/>
      <c r="G7" s="424"/>
      <c r="H7" s="424"/>
      <c r="I7" s="424"/>
      <c r="J7" s="424"/>
      <c r="K7" s="47"/>
      <c r="L7" s="141"/>
      <c r="M7" s="130"/>
      <c r="N7" s="130"/>
      <c r="O7" s="131"/>
      <c r="P7" s="12"/>
      <c r="Q7" s="12"/>
      <c r="R7" s="12"/>
      <c r="S7" s="12"/>
      <c r="T7" s="12"/>
      <c r="U7" s="12"/>
      <c r="V7" s="12"/>
      <c r="W7" s="12"/>
      <c r="X7" s="12"/>
      <c r="Y7" s="12"/>
      <c r="Z7" s="12"/>
      <c r="AA7" s="12"/>
      <c r="AB7" s="12"/>
      <c r="AC7" s="12"/>
      <c r="AD7" s="12"/>
      <c r="AE7" s="12"/>
      <c r="AF7" s="12"/>
      <c r="AG7" s="12"/>
      <c r="AH7" s="12"/>
    </row>
    <row r="8" spans="1:34" ht="16.2">
      <c r="A8" s="49"/>
      <c r="B8" s="86" t="str">
        <f ca="1">OFFSET(L!$C$1,MATCH("Declaration"&amp;ADDRESS(ROW(),COLUMN(),4),L!$A:$A,0)-1,SL,,)</f>
        <v>Company Name (*):</v>
      </c>
      <c r="C8" s="89"/>
      <c r="D8" s="412" t="s">
        <v>15606</v>
      </c>
      <c r="E8" s="413"/>
      <c r="F8" s="413"/>
      <c r="G8" s="413"/>
      <c r="H8" s="413"/>
      <c r="I8" s="413"/>
      <c r="J8" s="414"/>
      <c r="K8" s="50"/>
      <c r="L8" s="141"/>
      <c r="M8" s="130"/>
      <c r="N8" s="130"/>
      <c r="O8" s="131"/>
      <c r="P8" s="12"/>
      <c r="Q8" s="12"/>
      <c r="R8" s="12"/>
      <c r="S8" s="12"/>
      <c r="T8" s="12"/>
      <c r="U8" s="12"/>
      <c r="V8" s="12"/>
      <c r="W8" s="12"/>
      <c r="X8" s="12"/>
      <c r="Y8" s="12"/>
      <c r="Z8" s="12"/>
      <c r="AA8" s="12"/>
      <c r="AB8" s="12"/>
      <c r="AC8" s="12"/>
      <c r="AD8" s="12"/>
      <c r="AE8" s="12"/>
      <c r="AF8" s="12"/>
      <c r="AG8" s="12"/>
      <c r="AH8" s="12"/>
    </row>
    <row r="9" spans="1:34" ht="16.2">
      <c r="A9" s="49"/>
      <c r="B9" s="86" t="str">
        <f ca="1">OFFSET(L!$C$1,MATCH("Declaration"&amp;ADDRESS(ROW(),COLUMN(),4),L!$A:$A,0)-1,SL,,)</f>
        <v>Declaration Scope or Class (*):</v>
      </c>
      <c r="C9" s="89"/>
      <c r="D9" s="421" t="s">
        <v>494</v>
      </c>
      <c r="E9" s="422"/>
      <c r="F9" s="422"/>
      <c r="G9" s="423"/>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549999999999997" customHeight="1">
      <c r="A10" s="49"/>
      <c r="B10" s="425" t="str">
        <f ca="1">OFFSET(L!$C$1,MATCH("Declaration"&amp;ADDRESS(ROW(),COLUMN(),4)&amp;LEFT($D$9,1),L!$A:$A,0)-1,SL,,)</f>
        <v>Description of Scope:</v>
      </c>
      <c r="C10" s="151"/>
      <c r="D10" s="416"/>
      <c r="E10" s="417"/>
      <c r="F10" s="417"/>
      <c r="G10" s="417"/>
      <c r="H10" s="417"/>
      <c r="I10" s="417"/>
      <c r="J10" s="418"/>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6.2">
      <c r="A11" s="49"/>
      <c r="B11" s="426"/>
      <c r="C11" s="151"/>
      <c r="D11" s="435" t="str">
        <f ca="1">IF(D9=Q9,OFFSET(L!$C$1,MATCH("Declaration"&amp;ADDRESS(ROW(),COLUMN(),4),L!$A:$A,0)-1,SL,,),"")</f>
        <v/>
      </c>
      <c r="E11" s="436"/>
      <c r="F11" s="436"/>
      <c r="G11" s="436"/>
      <c r="H11" s="436"/>
      <c r="I11" s="436"/>
      <c r="J11" s="437"/>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6.2">
      <c r="A12" s="49"/>
      <c r="B12" s="51" t="str">
        <f ca="1">OFFSET(L!$C$1,MATCH("Declaration"&amp;ADDRESS(ROW(),COLUMN(),4),L!$A:$A,0)-1,SL,,)</f>
        <v>Company Unique ID:</v>
      </c>
      <c r="C12" s="90"/>
      <c r="D12" s="398"/>
      <c r="E12" s="399"/>
      <c r="F12" s="399"/>
      <c r="G12" s="399"/>
      <c r="H12" s="399"/>
      <c r="I12" s="399"/>
      <c r="J12" s="400"/>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6.2">
      <c r="A13" s="49"/>
      <c r="B13" s="51" t="str">
        <f ca="1">OFFSET(L!$C$1,MATCH("Declaration"&amp;ADDRESS(ROW(),COLUMN(),4),L!$A:$A,0)-1,SL,,)</f>
        <v>Company Unique ID Authority:</v>
      </c>
      <c r="C13" s="90"/>
      <c r="D13" s="398"/>
      <c r="E13" s="399"/>
      <c r="F13" s="399"/>
      <c r="G13" s="399"/>
      <c r="H13" s="399"/>
      <c r="I13" s="399"/>
      <c r="J13" s="400"/>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6.2">
      <c r="A14" s="49"/>
      <c r="B14" s="51" t="str">
        <f ca="1">OFFSET(L!$C$1,MATCH("Declaration"&amp;ADDRESS(ROW(),COLUMN(),4),L!$A:$A,0)-1,SL,,)</f>
        <v>Address:</v>
      </c>
      <c r="C14" s="90"/>
      <c r="D14" s="398"/>
      <c r="E14" s="399"/>
      <c r="F14" s="399"/>
      <c r="G14" s="399"/>
      <c r="H14" s="399"/>
      <c r="I14" s="399"/>
      <c r="J14" s="400"/>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6.2">
      <c r="A15" s="49"/>
      <c r="B15" s="51" t="str">
        <f ca="1">OFFSET(L!$C$1,MATCH("Declaration"&amp;ADDRESS(ROW(),COLUMN(),4),L!$A:$A,0)-1,SL,,)</f>
        <v>Contact Name (*):</v>
      </c>
      <c r="C15" s="90"/>
      <c r="D15" s="398" t="s">
        <v>15607</v>
      </c>
      <c r="E15" s="399"/>
      <c r="F15" s="399"/>
      <c r="G15" s="399"/>
      <c r="H15" s="399"/>
      <c r="I15" s="399"/>
      <c r="J15" s="400"/>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6.2">
      <c r="A16" s="49"/>
      <c r="B16" s="51" t="str">
        <f ca="1">OFFSET(L!$C$1,MATCH("Declaration"&amp;ADDRESS(ROW(),COLUMN(),4),L!$A:$A,0)-1,SL,,)</f>
        <v>Email – Contact (*):</v>
      </c>
      <c r="C16" s="90"/>
      <c r="D16" s="427" t="s">
        <v>15608</v>
      </c>
      <c r="E16" s="428"/>
      <c r="F16" s="428"/>
      <c r="G16" s="428"/>
      <c r="H16" s="428"/>
      <c r="I16" s="428"/>
      <c r="J16" s="429"/>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6.2">
      <c r="A17" s="49"/>
      <c r="B17" s="51" t="str">
        <f ca="1">OFFSET(L!$C$1,MATCH("Declaration"&amp;ADDRESS(ROW(),COLUMN(),4),L!$A:$A,0)-1,SL,,)</f>
        <v>Phone – Contact (*):</v>
      </c>
      <c r="C17" s="90"/>
      <c r="D17" s="398" t="s">
        <v>15609</v>
      </c>
      <c r="E17" s="399"/>
      <c r="F17" s="399"/>
      <c r="G17" s="399"/>
      <c r="H17" s="399"/>
      <c r="I17" s="399"/>
      <c r="J17" s="400"/>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2">
      <c r="A18" s="49"/>
      <c r="B18" s="51" t="str">
        <f ca="1">OFFSET(L!$C$1,MATCH("Declaration"&amp;ADDRESS(ROW(),COLUMN(),4),L!$A:$A,0)-1,SL,,)</f>
        <v>Authorizer (*):</v>
      </c>
      <c r="C18" s="90"/>
      <c r="D18" s="398" t="s">
        <v>15607</v>
      </c>
      <c r="E18" s="399"/>
      <c r="F18" s="399"/>
      <c r="G18" s="399"/>
      <c r="H18" s="399"/>
      <c r="I18" s="399"/>
      <c r="J18" s="400"/>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2">
      <c r="A19" s="49"/>
      <c r="B19" s="51" t="str">
        <f ca="1">OFFSET(L!$C$1,MATCH("Declaration"&amp;ADDRESS(ROW(),COLUMN(),4),L!$A:$A,0)-1,SL,,)</f>
        <v>Title - Authorizer:</v>
      </c>
      <c r="C19" s="90"/>
      <c r="D19" s="398"/>
      <c r="E19" s="399"/>
      <c r="F19" s="399"/>
      <c r="G19" s="399"/>
      <c r="H19" s="399"/>
      <c r="I19" s="399"/>
      <c r="J19" s="400"/>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2">
      <c r="A20" s="49"/>
      <c r="B20" s="51" t="str">
        <f ca="1">OFFSET(L!$C$1,MATCH("Declaration"&amp;ADDRESS(ROW(),COLUMN(),4),L!$A:$A,0)-1,SL,,)</f>
        <v>Email - Authorizer (*):</v>
      </c>
      <c r="C20" s="90"/>
      <c r="D20" s="427" t="s">
        <v>15608</v>
      </c>
      <c r="E20" s="428"/>
      <c r="F20" s="428"/>
      <c r="G20" s="428"/>
      <c r="H20" s="428"/>
      <c r="I20" s="428"/>
      <c r="J20" s="429"/>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6.2">
      <c r="A21" s="49"/>
      <c r="B21" s="51" t="str">
        <f ca="1">OFFSET(L!$C$1,MATCH("Declaration"&amp;ADDRESS(ROW(),COLUMN(),4),L!$A:$A,0)-1,SL,,)</f>
        <v>Phone - Authorizer:</v>
      </c>
      <c r="C21" s="162"/>
      <c r="D21" s="392"/>
      <c r="E21" s="393"/>
      <c r="F21" s="393"/>
      <c r="G21" s="393"/>
      <c r="H21" s="393"/>
      <c r="I21" s="393"/>
      <c r="J21" s="394"/>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7.399999999999999">
      <c r="A22" s="49"/>
      <c r="B22" s="51" t="str">
        <f ca="1">OFFSET(L!$C$1,MATCH("Declaration"&amp;ADDRESS(ROW(),COLUMN(),4),L!$A:$A,0)-1,SL,,)</f>
        <v>Effective Date (*):</v>
      </c>
      <c r="C22" s="91"/>
      <c r="D22" s="395">
        <v>44494</v>
      </c>
      <c r="E22" s="396"/>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7.399999999999999">
      <c r="A23" s="52"/>
      <c r="B23" s="92"/>
      <c r="C23" s="20"/>
      <c r="D23" s="432"/>
      <c r="E23" s="432"/>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6.2">
      <c r="A24" s="53"/>
      <c r="B24" s="397" t="str">
        <f ca="1">OFFSET(L!$C$1,MATCH("Declaration"&amp;ADDRESS(ROW(),COLUMN(),4),L!$A:$A,0)-1,SL,,)</f>
        <v>Answer the following questions 1 - 8 based on the declaration scope indicated above</v>
      </c>
      <c r="C24" s="397"/>
      <c r="D24" s="397"/>
      <c r="E24" s="397"/>
      <c r="F24" s="397"/>
      <c r="G24" s="397"/>
      <c r="H24" s="397"/>
      <c r="I24" s="397"/>
      <c r="J24" s="397"/>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433" t="str">
        <f ca="1">OFFSET(L!$C$1,MATCH("Declaration"&amp;ADDRESS(ROW(),COLUMN(),4),L!$A:$A,0)-1,SL,,)</f>
        <v>Answer</v>
      </c>
      <c r="E25" s="433"/>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2">
      <c r="A26" s="52"/>
      <c r="B26" s="51" t="str">
        <f ca="1">OFFSET(L!$C$1,MATCH("Declaration"&amp;ADDRESS(ROW(),COLUMN(),4),L!$A:$A,0)-1,SL,,)&amp;P26</f>
        <v xml:space="preserve">Tantalum  </v>
      </c>
      <c r="C26" s="46"/>
      <c r="D26" s="384" t="s">
        <v>489</v>
      </c>
      <c r="E26" s="385"/>
      <c r="F26" s="15"/>
      <c r="G26" s="386"/>
      <c r="H26" s="387"/>
      <c r="I26" s="387"/>
      <c r="J26" s="388"/>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2">
      <c r="A27" s="52"/>
      <c r="B27" s="51" t="str">
        <f ca="1">OFFSET(L!$C$1,MATCH("Declaration"&amp;ADDRESS(ROW(),COLUMN(),4),L!$A:$A,0)-1,SL,,)&amp;P27</f>
        <v xml:space="preserve">Tin  </v>
      </c>
      <c r="C27" s="46"/>
      <c r="D27" s="384" t="s">
        <v>489</v>
      </c>
      <c r="E27" s="385"/>
      <c r="F27" s="15"/>
      <c r="G27" s="386"/>
      <c r="H27" s="387"/>
      <c r="I27" s="387"/>
      <c r="J27" s="388"/>
      <c r="K27" s="47"/>
      <c r="L27" s="142"/>
      <c r="M27" s="130"/>
      <c r="N27" s="130"/>
      <c r="O27" s="130"/>
      <c r="P27" s="144" t="str">
        <f>IF(D$27="No","","(*)")</f>
        <v/>
      </c>
      <c r="R27" s="12"/>
      <c r="S27" s="12"/>
      <c r="T27" s="12"/>
      <c r="U27" s="12"/>
      <c r="V27" s="12"/>
      <c r="W27" s="12"/>
      <c r="X27" s="12"/>
      <c r="Y27" s="12"/>
      <c r="Z27" s="12"/>
      <c r="AA27" s="12"/>
      <c r="AB27" s="12"/>
      <c r="AC27" s="12"/>
      <c r="AD27" s="12"/>
      <c r="AE27" s="12"/>
      <c r="AF27" s="12"/>
      <c r="AG27" s="12"/>
      <c r="AH27" s="12"/>
    </row>
    <row r="28" spans="1:34" ht="22.2">
      <c r="A28" s="52"/>
      <c r="B28" s="51" t="str">
        <f ca="1">OFFSET(L!$C$1,MATCH("Declaration"&amp;ADDRESS(ROW(),COLUMN(),4),L!$A:$A,0)-1,SL,,)&amp;P28</f>
        <v xml:space="preserve">Gold  </v>
      </c>
      <c r="C28" s="46"/>
      <c r="D28" s="384" t="s">
        <v>489</v>
      </c>
      <c r="E28" s="385"/>
      <c r="F28" s="15"/>
      <c r="G28" s="386"/>
      <c r="H28" s="387"/>
      <c r="I28" s="387"/>
      <c r="J28" s="388"/>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2.2">
      <c r="A29" s="52"/>
      <c r="B29" s="51" t="str">
        <f ca="1">OFFSET(L!$C$1,MATCH("Declaration"&amp;ADDRESS(ROW(),COLUMN(),4),L!$A:$A,0)-1,SL,,)&amp;P29</f>
        <v xml:space="preserve">Tungsten  </v>
      </c>
      <c r="C29" s="46"/>
      <c r="D29" s="384" t="s">
        <v>489</v>
      </c>
      <c r="E29" s="385"/>
      <c r="F29" s="15"/>
      <c r="G29" s="386"/>
      <c r="H29" s="387"/>
      <c r="I29" s="387"/>
      <c r="J29" s="388"/>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7.399999999999999">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v>
      </c>
      <c r="C31" s="13"/>
      <c r="D31" s="391" t="str">
        <f ca="1">D25</f>
        <v>Answer</v>
      </c>
      <c r="E31" s="391"/>
      <c r="F31" s="21"/>
      <c r="G31" s="55" t="str">
        <f ca="1">G25</f>
        <v>Comments</v>
      </c>
      <c r="H31" s="55"/>
      <c r="I31" s="55"/>
      <c r="J31" s="96"/>
      <c r="K31" s="47"/>
      <c r="L31" s="136" t="s">
        <v>1243</v>
      </c>
      <c r="M31" s="130"/>
      <c r="N31" s="130"/>
      <c r="O31" s="131"/>
      <c r="P31" s="56">
        <f>COUNTIF(D$26:D$29,"No")</f>
        <v>4</v>
      </c>
      <c r="Q31" s="56" t="str">
        <f>IF(P31=4,""," (*)")</f>
        <v/>
      </c>
      <c r="R31" s="12"/>
      <c r="S31" s="12"/>
      <c r="T31" s="12"/>
      <c r="U31" s="12"/>
      <c r="V31" s="12"/>
      <c r="W31" s="12"/>
      <c r="X31" s="12"/>
      <c r="Y31" s="12"/>
      <c r="Z31" s="12"/>
      <c r="AA31" s="12"/>
      <c r="AB31" s="12"/>
      <c r="AC31" s="12"/>
      <c r="AD31" s="12"/>
      <c r="AE31" s="12"/>
      <c r="AF31" s="12"/>
      <c r="AG31" s="12"/>
      <c r="AH31" s="12"/>
    </row>
    <row r="32" spans="1:34" ht="22.2">
      <c r="A32" s="52"/>
      <c r="B32" s="51" t="str">
        <f ca="1">B26</f>
        <v xml:space="preserve">Tantalum  </v>
      </c>
      <c r="C32" s="13"/>
      <c r="D32" s="401"/>
      <c r="E32" s="402"/>
      <c r="F32" s="58"/>
      <c r="G32" s="386"/>
      <c r="H32" s="387"/>
      <c r="I32" s="387"/>
      <c r="J32" s="388"/>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2">
      <c r="A33" s="52"/>
      <c r="B33" s="51" t="str">
        <f ca="1">B27</f>
        <v xml:space="preserve">Tin  </v>
      </c>
      <c r="C33" s="13"/>
      <c r="D33" s="384"/>
      <c r="E33" s="385"/>
      <c r="F33" s="58"/>
      <c r="G33" s="386"/>
      <c r="H33" s="387"/>
      <c r="I33" s="387"/>
      <c r="J33" s="388"/>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2">
      <c r="A34" s="52"/>
      <c r="B34" s="51" t="str">
        <f ca="1">B28</f>
        <v xml:space="preserve">Gold  </v>
      </c>
      <c r="C34" s="13"/>
      <c r="D34" s="384"/>
      <c r="E34" s="385"/>
      <c r="F34" s="58"/>
      <c r="G34" s="386"/>
      <c r="H34" s="387"/>
      <c r="I34" s="387"/>
      <c r="J34" s="388"/>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2">
      <c r="A35" s="52"/>
      <c r="B35" s="51" t="str">
        <f ca="1">B29</f>
        <v xml:space="preserve">Tungsten  </v>
      </c>
      <c r="C35" s="13"/>
      <c r="D35" s="384"/>
      <c r="E35" s="385"/>
      <c r="F35" s="58"/>
      <c r="G35" s="386"/>
      <c r="H35" s="387"/>
      <c r="I35" s="387"/>
      <c r="J35" s="388"/>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7.399999999999999">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v>
      </c>
      <c r="C37" s="13"/>
      <c r="D37" s="391" t="str">
        <f ca="1">D25</f>
        <v>Answer</v>
      </c>
      <c r="E37" s="391"/>
      <c r="F37" s="21"/>
      <c r="G37" s="55" t="str">
        <f ca="1">G25</f>
        <v>Comments</v>
      </c>
      <c r="H37" s="431"/>
      <c r="I37" s="431"/>
      <c r="J37" s="431"/>
      <c r="K37" s="47"/>
      <c r="L37" s="136" t="s">
        <v>1243</v>
      </c>
      <c r="M37" s="130"/>
      <c r="N37" s="130"/>
      <c r="O37" s="131"/>
      <c r="P37" s="56">
        <f>COUNTIF(D$26:D$29,"No")+COUNTIF(D$32:D$35,"No")</f>
        <v>4</v>
      </c>
      <c r="Q37" s="56" t="str">
        <f>IF(P37&gt;3,""," (*)")</f>
        <v/>
      </c>
      <c r="R37" s="12"/>
      <c r="S37" s="12"/>
      <c r="T37" s="12"/>
      <c r="U37" s="12"/>
      <c r="V37" s="12"/>
      <c r="W37" s="12"/>
      <c r="X37" s="12"/>
      <c r="Y37" s="12"/>
      <c r="Z37" s="12"/>
      <c r="AA37" s="12"/>
      <c r="AB37" s="12"/>
      <c r="AC37" s="12"/>
      <c r="AD37" s="12"/>
      <c r="AE37" s="12"/>
      <c r="AF37" s="12"/>
      <c r="AG37" s="12"/>
      <c r="AH37" s="12"/>
    </row>
    <row r="38" spans="1:34" ht="22.2">
      <c r="A38" s="52"/>
      <c r="B38" s="51" t="str">
        <f ca="1">OFFSET(L!$C$1,MATCH("Declaration"&amp;ADDRESS(ROW(),COLUMN(),4),L!$A:$A,0)-1,SL,,)&amp;P38</f>
        <v xml:space="preserve">Tantalum  </v>
      </c>
      <c r="C38" s="13"/>
      <c r="D38" s="384"/>
      <c r="E38" s="385"/>
      <c r="F38" s="58"/>
      <c r="G38" s="386"/>
      <c r="H38" s="387"/>
      <c r="I38" s="387"/>
      <c r="J38" s="388"/>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2">
      <c r="A39" s="52"/>
      <c r="B39" s="51" t="str">
        <f ca="1">OFFSET(L!$C$1,MATCH("Declaration"&amp;ADDRESS(ROW(),COLUMN(),4),L!$A:$A,0)-1,SL,,)&amp;P39</f>
        <v xml:space="preserve">Tin  </v>
      </c>
      <c r="C39" s="13"/>
      <c r="D39" s="384"/>
      <c r="E39" s="385"/>
      <c r="F39" s="58"/>
      <c r="G39" s="386"/>
      <c r="H39" s="387"/>
      <c r="I39" s="387"/>
      <c r="J39" s="388"/>
      <c r="K39" s="47"/>
      <c r="L39" s="142"/>
      <c r="M39" s="130"/>
      <c r="N39" s="130"/>
      <c r="O39" s="131"/>
      <c r="P39" s="144" t="str">
        <f>IF((OR(D$27="No",D$33="No")),"","(*)")</f>
        <v/>
      </c>
      <c r="Q39" s="12"/>
      <c r="R39" s="12"/>
      <c r="S39" s="12"/>
      <c r="T39" s="12"/>
      <c r="U39" s="12"/>
      <c r="V39" s="12"/>
      <c r="W39" s="12"/>
      <c r="X39" s="12"/>
      <c r="Y39" s="12"/>
      <c r="Z39" s="12"/>
      <c r="AA39" s="12"/>
      <c r="AB39" s="12"/>
      <c r="AC39" s="12"/>
      <c r="AD39" s="12"/>
      <c r="AE39" s="12"/>
      <c r="AF39" s="12"/>
      <c r="AG39" s="12"/>
    </row>
    <row r="40" spans="1:34" ht="22.2">
      <c r="A40" s="52"/>
      <c r="B40" s="51" t="str">
        <f ca="1">OFFSET(L!$C$1,MATCH("Declaration"&amp;ADDRESS(ROW(),COLUMN(),4),L!$A:$A,0)-1,SL,,)&amp;P40</f>
        <v xml:space="preserve">Gold  </v>
      </c>
      <c r="C40" s="13"/>
      <c r="D40" s="384"/>
      <c r="E40" s="385"/>
      <c r="F40" s="58"/>
      <c r="G40" s="386"/>
      <c r="H40" s="387"/>
      <c r="I40" s="387"/>
      <c r="J40" s="388"/>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2.2">
      <c r="A41" s="52"/>
      <c r="B41" s="51" t="str">
        <f ca="1">OFFSET(L!$C$1,MATCH("Declaration"&amp;ADDRESS(ROW(),COLUMN(),4),L!$A:$A,0)-1,SL,,)&amp;P41</f>
        <v xml:space="preserve">Tungsten  </v>
      </c>
      <c r="C41" s="13"/>
      <c r="D41" s="384"/>
      <c r="E41" s="385"/>
      <c r="F41" s="58"/>
      <c r="G41" s="386"/>
      <c r="H41" s="387"/>
      <c r="I41" s="387"/>
      <c r="J41" s="388"/>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7.399999999999999">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v>
      </c>
      <c r="C43" s="13"/>
      <c r="D43" s="391" t="str">
        <f ca="1">D25</f>
        <v>Answer</v>
      </c>
      <c r="E43" s="391"/>
      <c r="F43" s="21"/>
      <c r="G43" s="55" t="str">
        <f ca="1">G25</f>
        <v>Comments</v>
      </c>
      <c r="H43" s="55"/>
      <c r="I43" s="55"/>
      <c r="J43" s="96"/>
      <c r="K43" s="47"/>
      <c r="L43" s="136"/>
      <c r="M43" s="130"/>
      <c r="N43" s="130"/>
      <c r="O43" s="131"/>
      <c r="P43" s="56">
        <f>COUNTIF(D$26:D$29,"No")+COUNTIF(D$32:D$35,"No")</f>
        <v>4</v>
      </c>
      <c r="Q43" s="56" t="str">
        <f>IF(P43&gt;3,""," (*)")</f>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84"/>
      <c r="E44" s="385"/>
      <c r="F44" s="58"/>
      <c r="G44" s="386"/>
      <c r="H44" s="387"/>
      <c r="I44" s="387"/>
      <c r="J44" s="388"/>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 xml:space="preserve">Tin  </v>
      </c>
      <c r="C45" s="13"/>
      <c r="D45" s="384"/>
      <c r="E45" s="385"/>
      <c r="F45" s="58"/>
      <c r="G45" s="386"/>
      <c r="H45" s="387"/>
      <c r="I45" s="387"/>
      <c r="J45" s="388"/>
      <c r="K45" s="47"/>
      <c r="L45" s="136"/>
      <c r="M45" s="130"/>
      <c r="N45" s="130"/>
      <c r="O45" s="131"/>
      <c r="P45" s="144" t="str">
        <f>IF((OR(D$27="No",D$33="No")),"","(*)")</f>
        <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 xml:space="preserve">Gold  </v>
      </c>
      <c r="C46" s="13"/>
      <c r="D46" s="384"/>
      <c r="E46" s="385"/>
      <c r="F46" s="58"/>
      <c r="G46" s="386"/>
      <c r="H46" s="387"/>
      <c r="I46" s="387"/>
      <c r="J46" s="388"/>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84"/>
      <c r="E47" s="385"/>
      <c r="F47" s="58"/>
      <c r="G47" s="386"/>
      <c r="H47" s="387"/>
      <c r="I47" s="387"/>
      <c r="J47" s="388"/>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 xml:space="preserve">5) Does 100 percent of the 3TG (necessary to the functionality or production of your products) originate from recycled or scrap sources? </v>
      </c>
      <c r="C49" s="13"/>
      <c r="D49" s="391" t="str">
        <f ca="1">D25</f>
        <v>Answer</v>
      </c>
      <c r="E49" s="391"/>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2">
      <c r="A50" s="52"/>
      <c r="B50" s="51" t="str">
        <f ca="1">B38</f>
        <v xml:space="preserve">Tantalum  </v>
      </c>
      <c r="C50" s="13"/>
      <c r="D50" s="384"/>
      <c r="E50" s="385"/>
      <c r="F50" s="58"/>
      <c r="G50" s="386"/>
      <c r="H50" s="387"/>
      <c r="I50" s="387"/>
      <c r="J50" s="388"/>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2">
      <c r="A51" s="52"/>
      <c r="B51" s="51" t="str">
        <f ca="1">B39</f>
        <v xml:space="preserve">Tin  </v>
      </c>
      <c r="C51" s="13"/>
      <c r="D51" s="384"/>
      <c r="E51" s="385"/>
      <c r="F51" s="58"/>
      <c r="G51" s="386"/>
      <c r="H51" s="387"/>
      <c r="I51" s="387"/>
      <c r="J51" s="388"/>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2">
      <c r="A52" s="52"/>
      <c r="B52" s="51" t="str">
        <f ca="1">B40</f>
        <v xml:space="preserve">Gold  </v>
      </c>
      <c r="C52" s="13"/>
      <c r="D52" s="384"/>
      <c r="E52" s="385"/>
      <c r="F52" s="58"/>
      <c r="G52" s="386"/>
      <c r="H52" s="387"/>
      <c r="I52" s="387"/>
      <c r="J52" s="388"/>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2">
      <c r="A53" s="52"/>
      <c r="B53" s="51" t="str">
        <f ca="1">B41</f>
        <v xml:space="preserve">Tungsten  </v>
      </c>
      <c r="C53" s="13"/>
      <c r="D53" s="384"/>
      <c r="E53" s="385"/>
      <c r="F53" s="58"/>
      <c r="G53" s="386"/>
      <c r="H53" s="387"/>
      <c r="I53" s="387"/>
      <c r="J53" s="388"/>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7.399999999999999">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40" t="str">
        <f ca="1">OFFSET(L!$C$1,MATCH("Declaration"&amp;ADDRESS(ROW(),COLUMN(),4),L!$A:$A,0)-1,SL,,)&amp;Q$37</f>
        <v xml:space="preserve">6) What percentage of relevant suppliers have provided a response to your supply chain survey? </v>
      </c>
      <c r="C55" s="13"/>
      <c r="D55" s="391" t="str">
        <f ca="1">D25</f>
        <v>Answer</v>
      </c>
      <c r="E55" s="391"/>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2">
      <c r="A56" s="52"/>
      <c r="B56" s="51" t="str">
        <f ca="1">B38</f>
        <v xml:space="preserve">Tantalum  </v>
      </c>
      <c r="C56" s="46"/>
      <c r="D56" s="389"/>
      <c r="E56" s="390"/>
      <c r="F56" s="58"/>
      <c r="G56" s="386"/>
      <c r="H56" s="387"/>
      <c r="I56" s="387"/>
      <c r="J56" s="388"/>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2">
      <c r="A57" s="52"/>
      <c r="B57" s="51" t="str">
        <f ca="1">B39</f>
        <v xml:space="preserve">Tin  </v>
      </c>
      <c r="C57" s="46"/>
      <c r="D57" s="389"/>
      <c r="E57" s="390"/>
      <c r="F57" s="58"/>
      <c r="G57" s="386"/>
      <c r="H57" s="387"/>
      <c r="I57" s="387"/>
      <c r="J57" s="388"/>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2">
      <c r="A58" s="52"/>
      <c r="B58" s="51" t="str">
        <f ca="1">B40</f>
        <v xml:space="preserve">Gold  </v>
      </c>
      <c r="C58" s="46"/>
      <c r="D58" s="389"/>
      <c r="E58" s="390"/>
      <c r="F58" s="58"/>
      <c r="G58" s="386"/>
      <c r="H58" s="387"/>
      <c r="I58" s="387"/>
      <c r="J58" s="388"/>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2">
      <c r="A59" s="52"/>
      <c r="B59" s="51" t="str">
        <f ca="1">B41</f>
        <v xml:space="preserve">Tungsten  </v>
      </c>
      <c r="C59" s="46"/>
      <c r="D59" s="389"/>
      <c r="E59" s="390"/>
      <c r="F59" s="58"/>
      <c r="G59" s="386"/>
      <c r="H59" s="387"/>
      <c r="I59" s="387"/>
      <c r="J59" s="388"/>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6.2">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40" t="str">
        <f ca="1">OFFSET(L!$C$1,MATCH("Declaration"&amp;ADDRESS(ROW(),COLUMN(),4),L!$A:$A,0)-1,SL,,)&amp;Q$37</f>
        <v xml:space="preserve">7) Have you identified all of the smelters supplying the 3TG to your supply chain? </v>
      </c>
      <c r="C61" s="13"/>
      <c r="D61" s="391" t="str">
        <f ca="1">D25</f>
        <v>Answer</v>
      </c>
      <c r="E61" s="391"/>
      <c r="F61" s="21"/>
      <c r="G61" s="55" t="str">
        <f ca="1">G25</f>
        <v>Comments</v>
      </c>
      <c r="H61" s="430"/>
      <c r="I61" s="430"/>
      <c r="J61" s="430"/>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2">
      <c r="A62" s="52"/>
      <c r="B62" s="51" t="str">
        <f ca="1">B38</f>
        <v xml:space="preserve">Tantalum  </v>
      </c>
      <c r="C62" s="13"/>
      <c r="D62" s="401"/>
      <c r="E62" s="402"/>
      <c r="F62" s="58"/>
      <c r="G62" s="386"/>
      <c r="H62" s="387"/>
      <c r="I62" s="387"/>
      <c r="J62" s="388"/>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2">
      <c r="A63" s="52"/>
      <c r="B63" s="51" t="str">
        <f ca="1">B39</f>
        <v xml:space="preserve">Tin  </v>
      </c>
      <c r="C63" s="13"/>
      <c r="D63" s="384"/>
      <c r="E63" s="385"/>
      <c r="F63" s="58"/>
      <c r="G63" s="386"/>
      <c r="H63" s="387"/>
      <c r="I63" s="387"/>
      <c r="J63" s="388"/>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2">
      <c r="A64" s="52"/>
      <c r="B64" s="51" t="str">
        <f ca="1">B40</f>
        <v xml:space="preserve">Gold  </v>
      </c>
      <c r="C64" s="13"/>
      <c r="D64" s="384"/>
      <c r="E64" s="385"/>
      <c r="F64" s="58"/>
      <c r="G64" s="386"/>
      <c r="H64" s="387"/>
      <c r="I64" s="387"/>
      <c r="J64" s="388"/>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2">
      <c r="A65" s="52"/>
      <c r="B65" s="51" t="str">
        <f ca="1">B41</f>
        <v xml:space="preserve">Tungsten  </v>
      </c>
      <c r="C65" s="13"/>
      <c r="D65" s="384"/>
      <c r="E65" s="385"/>
      <c r="F65" s="58"/>
      <c r="G65" s="386"/>
      <c r="H65" s="387"/>
      <c r="I65" s="387"/>
      <c r="J65" s="388"/>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6.2">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 xml:space="preserve">8) Has all applicable smelter information received by your company been reported in this declaration? </v>
      </c>
      <c r="C67" s="13"/>
      <c r="D67" s="391" t="str">
        <f ca="1">D25</f>
        <v>Answer</v>
      </c>
      <c r="E67" s="391"/>
      <c r="F67" s="21"/>
      <c r="G67" s="55" t="str">
        <f ca="1">G25</f>
        <v>Comments</v>
      </c>
      <c r="H67" s="430" t="str">
        <f>IF(Q75="(*)","Click here to enter smelter names","")</f>
        <v/>
      </c>
      <c r="I67" s="430"/>
      <c r="J67" s="430"/>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2">
      <c r="A68" s="52"/>
      <c r="B68" s="51" t="str">
        <f ca="1">B38</f>
        <v xml:space="preserve">Tantalum  </v>
      </c>
      <c r="C68" s="46"/>
      <c r="D68" s="384"/>
      <c r="E68" s="385"/>
      <c r="F68" s="59"/>
      <c r="G68" s="386"/>
      <c r="H68" s="387"/>
      <c r="I68" s="387"/>
      <c r="J68" s="388"/>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2">
      <c r="A69" s="52"/>
      <c r="B69" s="51" t="str">
        <f ca="1">B39</f>
        <v xml:space="preserve">Tin  </v>
      </c>
      <c r="C69" s="46"/>
      <c r="D69" s="384"/>
      <c r="E69" s="385"/>
      <c r="F69" s="59"/>
      <c r="G69" s="386"/>
      <c r="H69" s="387"/>
      <c r="I69" s="387"/>
      <c r="J69" s="388"/>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2">
      <c r="A70" s="52"/>
      <c r="B70" s="51" t="str">
        <f ca="1">B40</f>
        <v xml:space="preserve">Gold  </v>
      </c>
      <c r="C70" s="46"/>
      <c r="D70" s="384"/>
      <c r="E70" s="385"/>
      <c r="F70" s="59"/>
      <c r="G70" s="386"/>
      <c r="H70" s="387"/>
      <c r="I70" s="387"/>
      <c r="J70" s="388"/>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2">
      <c r="A71" s="49"/>
      <c r="B71" s="51" t="str">
        <f ca="1">B41</f>
        <v xml:space="preserve">Tungsten  </v>
      </c>
      <c r="C71" s="60"/>
      <c r="D71" s="384"/>
      <c r="E71" s="385"/>
      <c r="F71" s="61"/>
      <c r="G71" s="386"/>
      <c r="H71" s="387"/>
      <c r="I71" s="387"/>
      <c r="J71" s="388"/>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6.2">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6.2">
      <c r="A73" s="52"/>
      <c r="B73" s="444" t="str">
        <f ca="1">OFFSET(L!$C$1,MATCH("Declaration"&amp;ADDRESS(ROW(),COLUMN(),4),L!$A:$A,0)-1,SL,,)</f>
        <v>Answer the Following Questions at a Company Level</v>
      </c>
      <c r="C73" s="444"/>
      <c r="D73" s="444"/>
      <c r="E73" s="444"/>
      <c r="F73" s="444"/>
      <c r="G73" s="444"/>
      <c r="H73" s="444"/>
      <c r="I73" s="444"/>
      <c r="J73" s="444"/>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6.2">
      <c r="A74" s="62"/>
      <c r="B74" s="63" t="str">
        <f ca="1">OFFSET(L!$C$1,MATCH("Declaration"&amp;ADDRESS(ROW(),COLUMN(),4),L!$A:$A,0)-1,SL,,)</f>
        <v>Question</v>
      </c>
      <c r="C74" s="94"/>
      <c r="D74" s="433" t="str">
        <f ca="1">D25</f>
        <v>Answer</v>
      </c>
      <c r="E74" s="433"/>
      <c r="F74" s="64"/>
      <c r="G74" s="433" t="str">
        <f ca="1">G25</f>
        <v>Comments</v>
      </c>
      <c r="H74" s="433" t="e">
        <f>HLOOKUP(SL,LT,$O74,0)</f>
        <v>#NAME?</v>
      </c>
      <c r="I74" s="433"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2.4">
      <c r="A75" s="52"/>
      <c r="B75" s="67" t="str">
        <f ca="1">OFFSET(L!$C$1,MATCH("Declaration"&amp;ADDRESS(ROW(),COLUMN(),4),L!$A:$A,0)-1,SL,,)&amp;$Q$37</f>
        <v>A. Have you established a responsible minerals sourcing policy?</v>
      </c>
      <c r="C75" s="68"/>
      <c r="D75" s="384" t="s">
        <v>488</v>
      </c>
      <c r="E75" s="385"/>
      <c r="F75" s="68"/>
      <c r="G75" s="386"/>
      <c r="H75" s="387"/>
      <c r="I75" s="387"/>
      <c r="J75" s="388"/>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6.2">
      <c r="A76" s="52"/>
      <c r="B76" s="69"/>
      <c r="C76" s="15"/>
      <c r="D76" s="1"/>
      <c r="E76" s="1"/>
      <c r="F76" s="15"/>
      <c r="G76" s="434"/>
      <c r="H76" s="434"/>
      <c r="I76" s="434"/>
      <c r="J76" s="434"/>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v>
      </c>
      <c r="C77" s="68"/>
      <c r="D77" s="384" t="s">
        <v>488</v>
      </c>
      <c r="E77" s="385"/>
      <c r="F77" s="68"/>
      <c r="G77" s="403" t="s">
        <v>15610</v>
      </c>
      <c r="H77" s="404"/>
      <c r="I77" s="404"/>
      <c r="J77" s="405"/>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6.2">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v>
      </c>
      <c r="C79" s="68"/>
      <c r="D79" s="384" t="s">
        <v>489</v>
      </c>
      <c r="E79" s="385"/>
      <c r="F79" s="68"/>
      <c r="G79" s="386" t="s">
        <v>15611</v>
      </c>
      <c r="H79" s="387"/>
      <c r="I79" s="387"/>
      <c r="J79" s="388"/>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6.2">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v>
      </c>
      <c r="C81" s="68"/>
      <c r="D81" s="384" t="s">
        <v>488</v>
      </c>
      <c r="E81" s="385"/>
      <c r="F81" s="68"/>
      <c r="G81" s="386"/>
      <c r="H81" s="387"/>
      <c r="I81" s="387"/>
      <c r="J81" s="388"/>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6.2">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v>
      </c>
      <c r="C83" s="68"/>
      <c r="D83" s="384" t="s">
        <v>15250</v>
      </c>
      <c r="E83" s="385"/>
      <c r="F83" s="68"/>
      <c r="G83" s="386"/>
      <c r="H83" s="387"/>
      <c r="I83" s="387"/>
      <c r="J83" s="388"/>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6.2">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v>
      </c>
      <c r="C85" s="68"/>
      <c r="D85" s="441" t="s">
        <v>488</v>
      </c>
      <c r="E85" s="442"/>
      <c r="F85" s="68"/>
      <c r="G85" s="386"/>
      <c r="H85" s="387"/>
      <c r="I85" s="387"/>
      <c r="J85" s="388"/>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6.2">
      <c r="A86" s="52"/>
      <c r="B86" s="72"/>
      <c r="C86" s="15"/>
      <c r="D86" s="1"/>
      <c r="E86" s="1"/>
      <c r="F86" s="16"/>
      <c r="G86" s="434"/>
      <c r="H86" s="434"/>
      <c r="I86" s="434"/>
      <c r="J86" s="434"/>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v>
      </c>
      <c r="C87" s="68"/>
      <c r="D87" s="384" t="s">
        <v>488</v>
      </c>
      <c r="E87" s="385"/>
      <c r="F87" s="68"/>
      <c r="G87" s="386" t="s">
        <v>15614</v>
      </c>
      <c r="H87" s="387"/>
      <c r="I87" s="387"/>
      <c r="J87" s="388"/>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6.2">
      <c r="A88" s="52"/>
      <c r="B88" s="69"/>
      <c r="C88" s="15"/>
      <c r="D88" s="1"/>
      <c r="E88" s="1"/>
      <c r="F88" s="16"/>
      <c r="G88" s="443"/>
      <c r="H88" s="443"/>
      <c r="I88" s="443"/>
      <c r="J88" s="443"/>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2.4">
      <c r="A89" s="52"/>
      <c r="B89" s="67" t="str">
        <f ca="1">OFFSET(L!$C$1,MATCH("Declaration"&amp;ADDRESS(ROW(),COLUMN(),4),L!$A:$A,0)-1,SL,,)&amp;$Q$37</f>
        <v>H. Is your company required to file an annual conflict minerals disclosure?</v>
      </c>
      <c r="C89" s="68"/>
      <c r="D89" s="384" t="s">
        <v>489</v>
      </c>
      <c r="E89" s="385"/>
      <c r="F89" s="68"/>
      <c r="G89" s="386"/>
      <c r="H89" s="387"/>
      <c r="I89" s="387"/>
      <c r="J89" s="388"/>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6.2">
      <c r="A90" s="52"/>
      <c r="B90" s="440" t="str">
        <f>IF(OR($D$8="",$I$3=""),"","Click here to check required fields completion")</f>
        <v/>
      </c>
      <c r="C90" s="440"/>
      <c r="D90" s="440"/>
      <c r="E90" s="440"/>
      <c r="F90" s="440"/>
      <c r="G90" s="440"/>
      <c r="H90" s="440"/>
      <c r="I90" s="440"/>
      <c r="J90" s="440"/>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6.8" thickBot="1">
      <c r="A91" s="438" t="str">
        <f ca="1">OFFSET(L!$C$1,MATCH("General"&amp;"Cpy",L!$A:$A,0)-1,SL,,)</f>
        <v>© 2021 Responsible Minerals Initiative. All rights reserved.</v>
      </c>
      <c r="B91" s="439"/>
      <c r="C91" s="439"/>
      <c r="D91" s="439"/>
      <c r="E91" s="439"/>
      <c r="F91" s="439"/>
      <c r="G91" s="439"/>
      <c r="H91" s="439"/>
      <c r="I91" s="439"/>
      <c r="J91" s="439"/>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6.8"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 hidden="1">
      <c r="B98" s="67" t="s">
        <v>490</v>
      </c>
    </row>
    <row r="99" spans="2:2" ht="15" hidden="1">
      <c r="B99" s="221">
        <v>1</v>
      </c>
    </row>
    <row r="100" spans="2:2" ht="15" hidden="1">
      <c r="B100" s="287" t="s">
        <v>2511</v>
      </c>
    </row>
    <row r="101" spans="2:2" ht="15" hidden="1">
      <c r="B101" s="287" t="s">
        <v>2512</v>
      </c>
    </row>
    <row r="102" spans="2:2" ht="15" hidden="1">
      <c r="B102" s="287" t="s">
        <v>2513</v>
      </c>
    </row>
    <row r="103" spans="2:2" ht="15" hidden="1">
      <c r="B103" s="287" t="s">
        <v>2514</v>
      </c>
    </row>
    <row r="104" spans="2:2" ht="15" hidden="1">
      <c r="B104" s="287" t="s">
        <v>491</v>
      </c>
    </row>
    <row r="105" spans="2:2" ht="15" hidden="1">
      <c r="B105" s="287" t="s">
        <v>15250</v>
      </c>
    </row>
    <row r="106" spans="2:2" ht="15" hidden="1">
      <c r="B106" s="287" t="s">
        <v>12606</v>
      </c>
    </row>
    <row r="107" spans="2:2" ht="15" hidden="1">
      <c r="B107" s="287" t="s">
        <v>489</v>
      </c>
    </row>
    <row r="108" spans="2:2" ht="15" hidden="1">
      <c r="B108" s="287" t="s">
        <v>14215</v>
      </c>
    </row>
    <row r="109" spans="2:2" ht="15" hidden="1">
      <c r="B109" s="287" t="s">
        <v>14217</v>
      </c>
    </row>
    <row r="110" spans="2:2" ht="15" hidden="1">
      <c r="B110" s="287" t="s">
        <v>14218</v>
      </c>
    </row>
    <row r="111" spans="2:2" ht="1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105" priority="63" stopIfTrue="1">
      <formula>AND(OR($D$26="No",AND($D$26="Yes",$D$32="No")),OR($D$27="No",AND($D$27="Yes",$D$33="No")),OR($D$28="No",AND($D$28="Yes",$D$34="No")),OR($D$29="No",AND($D$29="Yes",$D$35="No")))</formula>
    </cfRule>
    <cfRule type="expression" dxfId="104" priority="64" stopIfTrue="1">
      <formula>IF(D75="",TRUE)</formula>
    </cfRule>
  </conditionalFormatting>
  <conditionalFormatting sqref="G77:J77">
    <cfRule type="expression" dxfId="103" priority="35" stopIfTrue="1">
      <formula>IF(AND($D$77="Yes",$G$77=""),TRUE)</formula>
    </cfRule>
  </conditionalFormatting>
  <conditionalFormatting sqref="D26:E26">
    <cfRule type="expression" dxfId="102" priority="115" stopIfTrue="1">
      <formula>IF($D$26="",TRUE)</formula>
    </cfRule>
  </conditionalFormatting>
  <conditionalFormatting sqref="D27:E27">
    <cfRule type="expression" dxfId="101" priority="122" stopIfTrue="1">
      <formula>IF($D$27="",TRUE)</formula>
    </cfRule>
  </conditionalFormatting>
  <conditionalFormatting sqref="D28:E28">
    <cfRule type="expression" dxfId="100" priority="123" stopIfTrue="1">
      <formula>IF($D$28="",TRUE)</formula>
    </cfRule>
  </conditionalFormatting>
  <conditionalFormatting sqref="D29:E29">
    <cfRule type="expression" dxfId="99" priority="124" stopIfTrue="1">
      <formula>IF($D$29="",TRUE)</formula>
    </cfRule>
  </conditionalFormatting>
  <conditionalFormatting sqref="D8:J8">
    <cfRule type="expression" dxfId="98" priority="129" stopIfTrue="1">
      <formula>IF($D$8="",TRUE)</formula>
    </cfRule>
  </conditionalFormatting>
  <conditionalFormatting sqref="D9:G9">
    <cfRule type="expression" dxfId="97" priority="130" stopIfTrue="1">
      <formula>IF($D$9="",TRUE)</formula>
    </cfRule>
  </conditionalFormatting>
  <conditionalFormatting sqref="D15:J15">
    <cfRule type="expression" dxfId="96" priority="131" stopIfTrue="1">
      <formula>IF($D$15="",TRUE)</formula>
    </cfRule>
  </conditionalFormatting>
  <conditionalFormatting sqref="D16:J16">
    <cfRule type="expression" dxfId="95" priority="132" stopIfTrue="1">
      <formula>IF($D$16="",TRUE)</formula>
    </cfRule>
  </conditionalFormatting>
  <conditionalFormatting sqref="D17:J17">
    <cfRule type="expression" dxfId="94" priority="133" stopIfTrue="1">
      <formula>IF($D$17="",TRUE)</formula>
    </cfRule>
  </conditionalFormatting>
  <conditionalFormatting sqref="D18:J18">
    <cfRule type="expression" dxfId="93" priority="134" stopIfTrue="1">
      <formula>IF($D$18="",TRUE)</formula>
    </cfRule>
  </conditionalFormatting>
  <conditionalFormatting sqref="D22:E22">
    <cfRule type="expression" dxfId="92" priority="137" stopIfTrue="1">
      <formula>IF($D$22="",TRUE)</formula>
    </cfRule>
  </conditionalFormatting>
  <conditionalFormatting sqref="D10:J10">
    <cfRule type="expression" dxfId="91" priority="34" stopIfTrue="1">
      <formula>IF($D$9=$Q$9,TRUE)</formula>
    </cfRule>
    <cfRule type="expression" dxfId="90" priority="144" stopIfTrue="1">
      <formula>IF(AND($D$10="",$D$9=$R$9),TRUE)</formula>
    </cfRule>
  </conditionalFormatting>
  <conditionalFormatting sqref="D34:E34 D40:E40 D52:E52 D58:E58 D64:E64 D70:E70">
    <cfRule type="expression" dxfId="89" priority="27" stopIfTrue="1">
      <formula>$P$28=""</formula>
    </cfRule>
  </conditionalFormatting>
  <conditionalFormatting sqref="D35:E35 D41:E41 D53:E53 D59:E59 D65:E65 D71:E71">
    <cfRule type="expression" dxfId="88" priority="142" stopIfTrue="1">
      <formula>$P$29=""</formula>
    </cfRule>
  </conditionalFormatting>
  <conditionalFormatting sqref="D32:E32">
    <cfRule type="expression" dxfId="87" priority="120" stopIfTrue="1">
      <formula>$P$26=""</formula>
    </cfRule>
  </conditionalFormatting>
  <conditionalFormatting sqref="D32:E32">
    <cfRule type="expression" dxfId="86" priority="33" stopIfTrue="1">
      <formula>IF(AND(OR($D$26="Yes",$D$26=""),$D$32=""),1,0)</formula>
    </cfRule>
  </conditionalFormatting>
  <conditionalFormatting sqref="D38 D50 D56 D62 D68">
    <cfRule type="expression" dxfId="85" priority="29" stopIfTrue="1">
      <formula>$P$32=""</formula>
    </cfRule>
  </conditionalFormatting>
  <conditionalFormatting sqref="D39:E39 D51 D57 D63 D69">
    <cfRule type="expression" dxfId="84" priority="28" stopIfTrue="1">
      <formula>$P$33=""</formula>
    </cfRule>
  </conditionalFormatting>
  <conditionalFormatting sqref="D40 D52 D58 D64 D70">
    <cfRule type="expression" dxfId="83" priority="18" stopIfTrue="1">
      <formula>$P$34=""</formula>
    </cfRule>
    <cfRule type="expression" dxfId="82" priority="140" stopIfTrue="1">
      <formula>IF(AND(OR($D$28="Yes",$D$28=""),D40=""),1,0)</formula>
    </cfRule>
  </conditionalFormatting>
  <conditionalFormatting sqref="D41 D53 D59 D65 D71">
    <cfRule type="expression" dxfId="81" priority="26" stopIfTrue="1">
      <formula>$P$35=""</formula>
    </cfRule>
  </conditionalFormatting>
  <conditionalFormatting sqref="D38:E38 D50:E50 D56:E56 D62:E62 D68:E68">
    <cfRule type="expression" dxfId="80" priority="31" stopIfTrue="1">
      <formula>$P$26=""</formula>
    </cfRule>
    <cfRule type="expression" dxfId="79" priority="32" stopIfTrue="1">
      <formula>IF(AND(OR($D$26="Yes",$D$26=""),D38=""),1,0)</formula>
    </cfRule>
  </conditionalFormatting>
  <conditionalFormatting sqref="G85:J85">
    <cfRule type="expression" dxfId="78" priority="25" stopIfTrue="1">
      <formula>IF(AND($D$85="Yes, using other format (describe)",$G$85=""),TRUE)</formula>
    </cfRule>
  </conditionalFormatting>
  <conditionalFormatting sqref="D39:E39 D51:E51 D57:E57 D63:E63 D69:E69">
    <cfRule type="expression" dxfId="77" priority="138" stopIfTrue="1">
      <formula>$P$39=""</formula>
    </cfRule>
    <cfRule type="expression" dxfId="76" priority="139" stopIfTrue="1">
      <formula>IF(AND(OR($D$27="Yes",$D$27=""),D39=""),1,0)</formula>
    </cfRule>
  </conditionalFormatting>
  <conditionalFormatting sqref="D33:E33">
    <cfRule type="expression" dxfId="75" priority="20" stopIfTrue="1">
      <formula>IF(AND(OR($D$27="Yes",$D$27=""),$D$33=""),1,0)</formula>
    </cfRule>
    <cfRule type="expression" dxfId="74" priority="21" stopIfTrue="1">
      <formula>$P$27=""</formula>
    </cfRule>
  </conditionalFormatting>
  <conditionalFormatting sqref="D34:E34">
    <cfRule type="expression" dxfId="73" priority="141" stopIfTrue="1">
      <formula>IF(AND(OR($D$28="Yes",$D$28=""),$D$34=""),1,0)</formula>
    </cfRule>
  </conditionalFormatting>
  <conditionalFormatting sqref="D41:E41 D53:E53 D59:E59 D65:E65 D71:E71">
    <cfRule type="expression" dxfId="72" priority="143" stopIfTrue="1">
      <formula>IF(AND(OR($D$29="Yes",$D$29=""),D41=""),1,0)</formula>
    </cfRule>
  </conditionalFormatting>
  <conditionalFormatting sqref="D35:E35">
    <cfRule type="expression" dxfId="71" priority="17" stopIfTrue="1">
      <formula>IF(AND(OR($D$29="Yes",$D$29=""),$D$35=""),1,0)</formula>
    </cfRule>
  </conditionalFormatting>
  <conditionalFormatting sqref="D20:J20">
    <cfRule type="expression" dxfId="70" priority="13" stopIfTrue="1">
      <formula>IF($D$20="",TRUE)</formula>
    </cfRule>
  </conditionalFormatting>
  <conditionalFormatting sqref="D46:E46">
    <cfRule type="expression" dxfId="69" priority="3" stopIfTrue="1">
      <formula>$P$28=""</formula>
    </cfRule>
  </conditionalFormatting>
  <conditionalFormatting sqref="D47:E47">
    <cfRule type="expression" dxfId="68" priority="11" stopIfTrue="1">
      <formula>$P$29=""</formula>
    </cfRule>
  </conditionalFormatting>
  <conditionalFormatting sqref="D44">
    <cfRule type="expression" dxfId="67" priority="5" stopIfTrue="1">
      <formula>$P$32=""</formula>
    </cfRule>
  </conditionalFormatting>
  <conditionalFormatting sqref="D45">
    <cfRule type="expression" dxfId="66" priority="4" stopIfTrue="1">
      <formula>$P$33=""</formula>
    </cfRule>
  </conditionalFormatting>
  <conditionalFormatting sqref="D46">
    <cfRule type="expression" dxfId="65" priority="1" stopIfTrue="1">
      <formula>$P$34=""</formula>
    </cfRule>
    <cfRule type="expression" dxfId="64" priority="10" stopIfTrue="1">
      <formula>IF(AND(OR($D$28="Yes",$D$28=""),D46=""),1,0)</formula>
    </cfRule>
  </conditionalFormatting>
  <conditionalFormatting sqref="D47">
    <cfRule type="expression" dxfId="63" priority="2" stopIfTrue="1">
      <formula>$P$35=""</formula>
    </cfRule>
  </conditionalFormatting>
  <conditionalFormatting sqref="D44:E44">
    <cfRule type="expression" dxfId="62" priority="6" stopIfTrue="1">
      <formula>$P$26=""</formula>
    </cfRule>
    <cfRule type="expression" dxfId="61" priority="7" stopIfTrue="1">
      <formula>IF(AND(OR($D$26="Yes",$D$26=""),D44=""),1,0)</formula>
    </cfRule>
  </conditionalFormatting>
  <conditionalFormatting sqref="D45:E45">
    <cfRule type="expression" dxfId="60" priority="8" stopIfTrue="1">
      <formula>$P$39=""</formula>
    </cfRule>
    <cfRule type="expression" dxfId="59" priority="9" stopIfTrue="1">
      <formula>IF(AND(OR($D$27="Yes",$D$27=""),D45=""),1,0)</formula>
    </cfRule>
  </conditionalFormatting>
  <conditionalFormatting sqref="D47:E47">
    <cfRule type="expression" dxfId="58" priority="12" stopIfTrue="1">
      <formula>IF(AND(OR($D$29="Yes",$D$29=""),D47=""),1,0)</formula>
    </cfRule>
  </conditionalFormatting>
  <dataValidations count="8">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zoomScaleNormal="100" zoomScalePageLayoutView="55" workbookViewId="0">
      <pane ySplit="4" topLeftCell="A5" activePane="bottomLeft" state="frozen"/>
      <selection pane="bottomLeft" activeCell="A5" sqref="A5"/>
    </sheetView>
  </sheetViews>
  <sheetFormatPr defaultColWidth="8.81640625" defaultRowHeight="12.6"/>
  <cols>
    <col min="1" max="1" width="13.6328125" style="272" customWidth="1"/>
    <col min="2" max="2" width="13.36328125" style="277" customWidth="1"/>
    <col min="3" max="3" width="40.6328125" style="277" customWidth="1"/>
    <col min="4" max="4" width="30.6328125" style="277" customWidth="1"/>
    <col min="5" max="5" width="20.81640625" style="277" customWidth="1"/>
    <col min="6" max="7" width="13.81640625" style="277" customWidth="1"/>
    <col min="8" max="8" width="25.1796875" style="277" customWidth="1"/>
    <col min="9" max="9" width="24.1796875" style="277" customWidth="1"/>
    <col min="10" max="10" width="18.36328125" style="277" customWidth="1"/>
    <col min="11" max="11" width="27.36328125" style="277" customWidth="1"/>
    <col min="12" max="12" width="20.6328125" style="277" customWidth="1"/>
    <col min="13" max="13" width="35.1796875" style="277" customWidth="1"/>
    <col min="14" max="14" width="42.1796875" style="277" customWidth="1"/>
    <col min="15" max="15" width="32.1796875" style="277" customWidth="1"/>
    <col min="16" max="16" width="22.81640625" style="277" customWidth="1"/>
    <col min="17" max="17" width="43.6328125" style="277" customWidth="1"/>
    <col min="18" max="18" width="35.81640625" style="277" hidden="1" customWidth="1"/>
    <col min="19" max="20" width="17.81640625" style="277" hidden="1" customWidth="1"/>
    <col min="21" max="21" width="8.81640625" style="276" hidden="1" customWidth="1"/>
    <col min="22" max="22" width="6.1796875" style="276" hidden="1" customWidth="1"/>
    <col min="23" max="23" width="8.6328125" style="276" hidden="1" customWidth="1"/>
    <col min="24" max="24" width="8.81640625" style="276" hidden="1" customWidth="1"/>
    <col min="25" max="26" width="4.36328125" style="276" hidden="1" customWidth="1"/>
    <col min="27" max="27" width="4.36328125" style="277" hidden="1" customWidth="1"/>
    <col min="28" max="28" width="7.81640625" style="277" hidden="1" customWidth="1"/>
    <col min="29" max="33" width="4.36328125" style="277" hidden="1" customWidth="1"/>
    <col min="34" max="34" width="14.6328125" style="277" hidden="1" customWidth="1"/>
    <col min="35" max="39" width="8.81640625" style="277" customWidth="1"/>
    <col min="40" max="16384" width="8.81640625" style="277"/>
  </cols>
  <sheetData>
    <row r="1" spans="1:34" s="264" customFormat="1" ht="16.05"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8.2">
      <c r="A2" s="201"/>
      <c r="B2" s="220" t="str">
        <f ca="1">OFFSET(L!$C$1,MATCH("Smelter List"&amp;ADDRESS(ROW(),COLUMN(),4),L!$A:$A,0)-1,SL,,)</f>
        <v>TO BEGIN:</v>
      </c>
      <c r="C2" s="203"/>
      <c r="D2" s="203"/>
      <c r="E2" s="203"/>
      <c r="F2" s="229"/>
      <c r="G2" s="229"/>
      <c r="H2" s="229"/>
      <c r="I2" s="230"/>
      <c r="J2" s="445" t="str">
        <f ca="1">OFFSET(L!$C$1,MATCH("Smelter List"&amp;ADDRESS(ROW(),COLUMN(),4),L!$A:$A,0)-1,SL,,)</f>
        <v>Link to "RMAP Conformant Smelter List"</v>
      </c>
      <c r="K2" s="446"/>
      <c r="L2" s="446"/>
      <c r="M2" s="446"/>
      <c r="N2" s="446"/>
      <c r="O2" s="446"/>
      <c r="P2" s="231"/>
      <c r="Q2" s="232"/>
      <c r="R2" s="233"/>
      <c r="S2" s="233"/>
      <c r="T2" s="233"/>
      <c r="U2" s="262"/>
      <c r="V2" s="262"/>
      <c r="W2" s="263"/>
      <c r="X2" s="262"/>
      <c r="Y2" s="262"/>
      <c r="Z2" s="262"/>
      <c r="AH2" s="174" t="s">
        <v>488</v>
      </c>
    </row>
    <row r="3" spans="1:34" s="264" customFormat="1" ht="274.05" customHeight="1">
      <c r="A3" s="202"/>
      <c r="B3" s="44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7"/>
      <c r="D3" s="447"/>
      <c r="E3" s="447"/>
      <c r="F3" s="265"/>
      <c r="G3" s="448" t="str">
        <f ca="1">OFFSET(L!$C$1,MATCH("General"&amp;"Cpy",L!$A:$A,0)-1,SL,,)</f>
        <v>© 2021 Responsible Minerals Initiative. All rights reserved.</v>
      </c>
      <c r="H3" s="448"/>
      <c r="I3" s="449"/>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60">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19.95" customHeight="1">
      <c r="A5" s="324"/>
      <c r="B5" s="215" t="str">
        <f>IF(LEN(A5)=0,"",INDEX('Smelter Look-up'!$A:$A,MATCH($A5,'Smelter Look-up'!$E:$E,0)))</f>
        <v/>
      </c>
      <c r="C5" s="219" t="str">
        <f>IF(LEN(A5)=0,"",INDEX('Smelter Look-up'!$C:$C,MATCH($A5,'Smelter Look-up'!$E:$E,0)))</f>
        <v/>
      </c>
      <c r="D5" s="278"/>
      <c r="E5" s="215" t="str">
        <f ca="1">IF(ISERROR($V5),"",OFFSET('Smelter Look-up'!$D$4,$V5-4,0)&amp;"")</f>
        <v/>
      </c>
      <c r="F5" s="215" t="str">
        <f ca="1">IF(ISERROR($V5),"",OFFSET('Smelter Look-up'!$E$4,$V5-4,0))</f>
        <v/>
      </c>
      <c r="G5" s="215" t="str">
        <f ca="1">IF(C5=$X$4,"Enter smelter details",IF(ISERROR($V5),"",OFFSET('Smelter Look-up'!$F$4,$V5-4,0)))</f>
        <v/>
      </c>
      <c r="H5" s="216" t="str">
        <f ca="1">IF(ISERROR($V5),"",OFFSET('Smelter Look-up'!$G$4,$V5-4,0))</f>
        <v/>
      </c>
      <c r="I5" s="217" t="str">
        <f ca="1">IF(ISERROR($V5),"",OFFSET('Smelter Look-up'!$H$4,$V5-4,0))</f>
        <v/>
      </c>
      <c r="J5" s="217" t="str">
        <f ca="1">IF(ISERROR($V5),"",OFFSET('Smelter Look-up'!$I$4,$V5-4,0))</f>
        <v/>
      </c>
      <c r="K5" s="268"/>
      <c r="L5" s="268"/>
      <c r="M5" s="268"/>
      <c r="N5" s="268"/>
      <c r="O5" s="268"/>
      <c r="P5" s="218"/>
      <c r="Q5" s="269"/>
      <c r="R5" s="215" t="str">
        <f ca="1">IF(ISERROR($V5),"",OFFSET('Smelter Look-up'!$C$4,$V5-4,0)&amp;"")</f>
        <v/>
      </c>
      <c r="S5" s="222" t="str">
        <f t="shared" ref="S5" ca="1" si="0">IF(B5="","",IF(ISERROR(MATCH($E5,CL,0)),"Unknown",INDIRECT("'C'!$A$"&amp;MATCH($E5,CL,0)+1)))</f>
        <v/>
      </c>
      <c r="T5" s="222" t="str">
        <f ca="1">IF(B5="","",IF(ISERROR(MATCH($J5,SorP!$B$1:$B$6230,0)),"",INDIRECT("'SorP'!$A$"&amp;MATCH($J5,SorP!$B$1:$B$6230,0))))</f>
        <v/>
      </c>
      <c r="U5" s="238"/>
      <c r="V5" s="270" t="e">
        <f>IF(C5="",NA(),MATCH($B5&amp;$C5,'Smelter Look-up'!$J:$J,0))</f>
        <v>#N/A</v>
      </c>
      <c r="W5" s="271"/>
      <c r="X5" s="271">
        <f t="shared" ref="X5" ca="1" si="1">IF(AND(C5="Smelter not listed",OR(LEN(D5)=0,LEN(E5)=0)),1,0)</f>
        <v>0</v>
      </c>
      <c r="Y5" s="271"/>
      <c r="Z5" s="271"/>
      <c r="AB5" s="273" t="str">
        <f t="shared" ref="AB5" si="2">B5&amp;C5</f>
        <v/>
      </c>
    </row>
    <row r="6" spans="1:34" s="272" customFormat="1" ht="19.95" customHeight="1">
      <c r="A6" s="324"/>
      <c r="B6" s="215" t="str">
        <f>IF(LEN(A6)=0,"",INDEX('Smelter Look-up'!$A:$A,MATCH($A6,'Smelter Look-up'!$E:$E,0)))</f>
        <v/>
      </c>
      <c r="C6" s="219" t="str">
        <f>IF(LEN(A6)=0,"",INDEX('Smelter Look-up'!$C:$C,MATCH($A6,'Smelter Look-up'!$E:$E,0)))</f>
        <v/>
      </c>
      <c r="D6" s="278"/>
      <c r="E6" s="215" t="str">
        <f ca="1">IF(ISERROR($V6),"",OFFSET('Smelter Look-up'!$D$4,$V6-4,0)&amp;"")</f>
        <v/>
      </c>
      <c r="F6" s="215" t="str">
        <f ca="1">IF(ISERROR($V6),"",OFFSET('Smelter Look-up'!$E$4,$V6-4,0))</f>
        <v/>
      </c>
      <c r="G6" s="215" t="str">
        <f ca="1">IF(C6=$X$4,"Enter smelter details",IF(ISERROR($V6),"",OFFSET('Smelter Look-up'!$F$4,$V6-4,0)))</f>
        <v/>
      </c>
      <c r="H6" s="216" t="str">
        <f ca="1">IF(ISERROR($V6),"",OFFSET('Smelter Look-up'!$G$4,$V6-4,0))</f>
        <v/>
      </c>
      <c r="I6" s="217" t="str">
        <f ca="1">IF(ISERROR($V6),"",OFFSET('Smelter Look-up'!$H$4,$V6-4,0))</f>
        <v/>
      </c>
      <c r="J6" s="217" t="str">
        <f ca="1">IF(ISERROR($V6),"",OFFSET('Smelter Look-up'!$I$4,$V6-4,0))</f>
        <v/>
      </c>
      <c r="K6" s="268"/>
      <c r="L6" s="268"/>
      <c r="M6" s="268"/>
      <c r="N6" s="268"/>
      <c r="O6" s="268"/>
      <c r="P6" s="218"/>
      <c r="Q6" s="269"/>
      <c r="R6" s="215" t="str">
        <f ca="1">IF(ISERROR($V6),"",OFFSET('Smelter Look-up'!$C$4,$V6-4,0)&amp;"")</f>
        <v/>
      </c>
      <c r="S6" s="222" t="str">
        <f t="shared" ref="S6:S37" ca="1" si="3">IF(B6="","",IF(ISERROR(MATCH($E6,CL,0)),"Unknown",INDIRECT("'C'!$A$"&amp;MATCH($E6,CL,0)+1)))</f>
        <v/>
      </c>
      <c r="T6" s="222" t="str">
        <f ca="1">IF(B6="","",IF(ISERROR(MATCH($J6,SorP!$B$1:$B$6230,0)),"",INDIRECT("'SorP'!$A$"&amp;MATCH($J6,SorP!$B$1:$B$6230,0))))</f>
        <v/>
      </c>
      <c r="U6" s="238"/>
      <c r="V6" s="270" t="e">
        <f>IF(C6="",NA(),MATCH($B6&amp;$C6,'Smelter Look-up'!$J:$J,0))</f>
        <v>#N/A</v>
      </c>
      <c r="W6" s="271"/>
      <c r="X6" s="271">
        <f t="shared" ref="X6:X37" ca="1" si="4">IF(AND(C6="Smelter not listed",OR(LEN(D6)=0,LEN(E6)=0)),1,0)</f>
        <v>0</v>
      </c>
      <c r="Y6" s="271"/>
      <c r="Z6" s="271"/>
      <c r="AB6" s="273" t="str">
        <f t="shared" ref="AB6:AB37" si="5">B6&amp;C6</f>
        <v/>
      </c>
    </row>
    <row r="7" spans="1:34" s="272" customFormat="1" ht="19.95" customHeight="1">
      <c r="A7" s="324"/>
      <c r="B7" s="215" t="str">
        <f>IF(LEN(A7)=0,"",INDEX('Smelter Look-up'!$A:$A,MATCH($A7,'Smelter Look-up'!$E:$E,0)))</f>
        <v/>
      </c>
      <c r="C7" s="219" t="str">
        <f>IF(LEN(A7)=0,"",INDEX('Smelter Look-up'!$C:$C,MATCH($A7,'Smelter Look-up'!$E:$E,0)))</f>
        <v/>
      </c>
      <c r="D7" s="278"/>
      <c r="E7" s="215" t="str">
        <f ca="1">IF(ISERROR($V7),"",OFFSET('Smelter Look-up'!$D$4,$V7-4,0)&amp;"")</f>
        <v/>
      </c>
      <c r="F7" s="215" t="str">
        <f ca="1">IF(ISERROR($V7),"",OFFSET('Smelter Look-up'!$E$4,$V7-4,0))</f>
        <v/>
      </c>
      <c r="G7" s="215" t="str">
        <f ca="1">IF(C7=$X$4,"Enter smelter details",IF(ISERROR($V7),"",OFFSET('Smelter Look-up'!$F$4,$V7-4,0)))</f>
        <v/>
      </c>
      <c r="H7" s="216" t="str">
        <f ca="1">IF(ISERROR($V7),"",OFFSET('Smelter Look-up'!$G$4,$V7-4,0))</f>
        <v/>
      </c>
      <c r="I7" s="217" t="str">
        <f ca="1">IF(ISERROR($V7),"",OFFSET('Smelter Look-up'!$H$4,$V7-4,0))</f>
        <v/>
      </c>
      <c r="J7" s="217" t="str">
        <f ca="1">IF(ISERROR($V7),"",OFFSET('Smelter Look-up'!$I$4,$V7-4,0))</f>
        <v/>
      </c>
      <c r="K7" s="268"/>
      <c r="L7" s="268"/>
      <c r="M7" s="268"/>
      <c r="N7" s="268"/>
      <c r="O7" s="268"/>
      <c r="P7" s="218"/>
      <c r="Q7" s="269"/>
      <c r="R7" s="215" t="str">
        <f ca="1">IF(ISERROR($V7),"",OFFSET('Smelter Look-up'!$C$4,$V7-4,0)&amp;"")</f>
        <v/>
      </c>
      <c r="S7" s="222" t="str">
        <f t="shared" ca="1" si="3"/>
        <v/>
      </c>
      <c r="T7" s="222" t="str">
        <f ca="1">IF(B7="","",IF(ISERROR(MATCH($J7,SorP!$B$1:$B$6230,0)),"",INDIRECT("'SorP'!$A$"&amp;MATCH($J7,SorP!$B$1:$B$6230,0))))</f>
        <v/>
      </c>
      <c r="U7" s="238"/>
      <c r="V7" s="270" t="e">
        <f>IF(C7="",NA(),MATCH($B7&amp;$C7,'Smelter Look-up'!$J:$J,0))</f>
        <v>#N/A</v>
      </c>
      <c r="W7" s="271"/>
      <c r="X7" s="271">
        <f t="shared" ca="1" si="4"/>
        <v>0</v>
      </c>
      <c r="Y7" s="271"/>
      <c r="Z7" s="271"/>
      <c r="AB7" s="273" t="str">
        <f t="shared" si="5"/>
        <v/>
      </c>
    </row>
    <row r="8" spans="1:34" s="272" customFormat="1" ht="19.95" customHeight="1">
      <c r="A8" s="324"/>
      <c r="B8" s="215" t="str">
        <f>IF(LEN(A8)=0,"",INDEX('Smelter Look-up'!$A:$A,MATCH($A8,'Smelter Look-up'!$E:$E,0)))</f>
        <v/>
      </c>
      <c r="C8" s="219" t="str">
        <f>IF(LEN(A8)=0,"",INDEX('Smelter Look-up'!$C:$C,MATCH($A8,'Smelter Look-up'!$E:$E,0)))</f>
        <v/>
      </c>
      <c r="D8" s="278"/>
      <c r="E8" s="215" t="str">
        <f ca="1">IF(ISERROR($V8),"",OFFSET('Smelter Look-up'!$D$4,$V8-4,0)&amp;"")</f>
        <v/>
      </c>
      <c r="F8" s="215" t="str">
        <f ca="1">IF(ISERROR($V8),"",OFFSET('Smelter Look-up'!$E$4,$V8-4,0))</f>
        <v/>
      </c>
      <c r="G8" s="215" t="str">
        <f ca="1">IF(C8=$X$4,"Enter smelter details",IF(ISERROR($V8),"",OFFSET('Smelter Look-up'!$F$4,$V8-4,0)))</f>
        <v/>
      </c>
      <c r="H8" s="216" t="str">
        <f ca="1">IF(ISERROR($V8),"",OFFSET('Smelter Look-up'!$G$4,$V8-4,0))</f>
        <v/>
      </c>
      <c r="I8" s="217" t="str">
        <f ca="1">IF(ISERROR($V8),"",OFFSET('Smelter Look-up'!$H$4,$V8-4,0))</f>
        <v/>
      </c>
      <c r="J8" s="217" t="str">
        <f ca="1">IF(ISERROR($V8),"",OFFSET('Smelter Look-up'!$I$4,$V8-4,0))</f>
        <v/>
      </c>
      <c r="K8" s="268"/>
      <c r="L8" s="268"/>
      <c r="M8" s="268"/>
      <c r="N8" s="268"/>
      <c r="O8" s="268"/>
      <c r="P8" s="218"/>
      <c r="Q8" s="269"/>
      <c r="R8" s="215" t="str">
        <f ca="1">IF(ISERROR($V8),"",OFFSET('Smelter Look-up'!$C$4,$V8-4,0)&amp;"")</f>
        <v/>
      </c>
      <c r="S8" s="222" t="str">
        <f t="shared" ca="1" si="3"/>
        <v/>
      </c>
      <c r="T8" s="222" t="str">
        <f ca="1">IF(B8="","",IF(ISERROR(MATCH($J8,SorP!$B$1:$B$6230,0)),"",INDIRECT("'SorP'!$A$"&amp;MATCH($J8,SorP!$B$1:$B$6230,0))))</f>
        <v/>
      </c>
      <c r="U8" s="238"/>
      <c r="V8" s="270" t="e">
        <f>IF(C8="",NA(),MATCH($B8&amp;$C8,'Smelter Look-up'!$J:$J,0))</f>
        <v>#N/A</v>
      </c>
      <c r="W8" s="271"/>
      <c r="X8" s="271">
        <f t="shared" ca="1" si="4"/>
        <v>0</v>
      </c>
      <c r="Y8" s="271"/>
      <c r="Z8" s="271"/>
      <c r="AB8" s="273" t="str">
        <f t="shared" si="5"/>
        <v/>
      </c>
    </row>
    <row r="9" spans="1:34" s="272" customFormat="1" ht="19.95" customHeight="1">
      <c r="A9" s="324"/>
      <c r="B9" s="215" t="str">
        <f>IF(LEN(A9)=0,"",INDEX('Smelter Look-up'!$A:$A,MATCH($A9,'Smelter Look-up'!$E:$E,0)))</f>
        <v/>
      </c>
      <c r="C9" s="219" t="str">
        <f>IF(LEN(A9)=0,"",INDEX('Smelter Look-up'!$C:$C,MATCH($A9,'Smelter Look-up'!$E:$E,0)))</f>
        <v/>
      </c>
      <c r="D9" s="278"/>
      <c r="E9" s="215" t="str">
        <f ca="1">IF(ISERROR($V9),"",OFFSET('Smelter Look-up'!$D$4,$V9-4,0)&amp;"")</f>
        <v/>
      </c>
      <c r="F9" s="215" t="str">
        <f ca="1">IF(ISERROR($V9),"",OFFSET('Smelter Look-up'!$E$4,$V9-4,0))</f>
        <v/>
      </c>
      <c r="G9" s="215" t="str">
        <f ca="1">IF(C9=$X$4,"Enter smelter details",IF(ISERROR($V9),"",OFFSET('Smelter Look-up'!$F$4,$V9-4,0)))</f>
        <v/>
      </c>
      <c r="H9" s="216" t="str">
        <f ca="1">IF(ISERROR($V9),"",OFFSET('Smelter Look-up'!$G$4,$V9-4,0))</f>
        <v/>
      </c>
      <c r="I9" s="217" t="str">
        <f ca="1">IF(ISERROR($V9),"",OFFSET('Smelter Look-up'!$H$4,$V9-4,0))</f>
        <v/>
      </c>
      <c r="J9" s="217" t="str">
        <f ca="1">IF(ISERROR($V9),"",OFFSET('Smelter Look-up'!$I$4,$V9-4,0))</f>
        <v/>
      </c>
      <c r="K9" s="268"/>
      <c r="L9" s="268"/>
      <c r="M9" s="268"/>
      <c r="N9" s="268"/>
      <c r="O9" s="268"/>
      <c r="P9" s="218"/>
      <c r="Q9" s="269"/>
      <c r="R9" s="215" t="str">
        <f ca="1">IF(ISERROR($V9),"",OFFSET('Smelter Look-up'!$C$4,$V9-4,0)&amp;"")</f>
        <v/>
      </c>
      <c r="S9" s="222" t="str">
        <f t="shared" ca="1" si="3"/>
        <v/>
      </c>
      <c r="T9" s="222" t="str">
        <f ca="1">IF(B9="","",IF(ISERROR(MATCH($J9,SorP!$B$1:$B$6230,0)),"",INDIRECT("'SorP'!$A$"&amp;MATCH($J9,SorP!$B$1:$B$6230,0))))</f>
        <v/>
      </c>
      <c r="U9" s="238"/>
      <c r="V9" s="270" t="e">
        <f>IF(C9="",NA(),MATCH($B9&amp;$C9,'Smelter Look-up'!$J:$J,0))</f>
        <v>#N/A</v>
      </c>
      <c r="W9" s="271"/>
      <c r="X9" s="271">
        <f t="shared" ca="1" si="4"/>
        <v>0</v>
      </c>
      <c r="Y9" s="271"/>
      <c r="Z9" s="271"/>
      <c r="AB9" s="273" t="str">
        <f t="shared" si="5"/>
        <v/>
      </c>
    </row>
    <row r="10" spans="1:34" s="272" customFormat="1" ht="19.95" customHeight="1">
      <c r="A10" s="324"/>
      <c r="B10" s="215" t="str">
        <f>IF(LEN(A10)=0,"",INDEX('Smelter Look-up'!$A:$A,MATCH($A10,'Smelter Look-up'!$E:$E,0)))</f>
        <v/>
      </c>
      <c r="C10" s="219" t="str">
        <f>IF(LEN(A10)=0,"",INDEX('Smelter Look-up'!$C:$C,MATCH($A10,'Smelter Look-up'!$E:$E,0)))</f>
        <v/>
      </c>
      <c r="D10" s="278"/>
      <c r="E10" s="215" t="str">
        <f ca="1">IF(ISERROR($V10),"",OFFSET('Smelter Look-up'!$D$4,$V10-4,0)&amp;"")</f>
        <v/>
      </c>
      <c r="F10" s="215" t="str">
        <f ca="1">IF(ISERROR($V10),"",OFFSET('Smelter Look-up'!$E$4,$V10-4,0))</f>
        <v/>
      </c>
      <c r="G10" s="215" t="str">
        <f ca="1">IF(C10=$X$4,"Enter smelter details",IF(ISERROR($V10),"",OFFSET('Smelter Look-up'!$F$4,$V10-4,0)))</f>
        <v/>
      </c>
      <c r="H10" s="216" t="str">
        <f ca="1">IF(ISERROR($V10),"",OFFSET('Smelter Look-up'!$G$4,$V10-4,0))</f>
        <v/>
      </c>
      <c r="I10" s="217" t="str">
        <f ca="1">IF(ISERROR($V10),"",OFFSET('Smelter Look-up'!$H$4,$V10-4,0))</f>
        <v/>
      </c>
      <c r="J10" s="217" t="str">
        <f ca="1">IF(ISERROR($V10),"",OFFSET('Smelter Look-up'!$I$4,$V10-4,0))</f>
        <v/>
      </c>
      <c r="K10" s="268"/>
      <c r="L10" s="268"/>
      <c r="M10" s="268"/>
      <c r="N10" s="268"/>
      <c r="O10" s="268"/>
      <c r="P10" s="218"/>
      <c r="Q10" s="269"/>
      <c r="R10" s="215" t="str">
        <f ca="1">IF(ISERROR($V10),"",OFFSET('Smelter Look-up'!$C$4,$V10-4,0)&amp;"")</f>
        <v/>
      </c>
      <c r="S10" s="222" t="str">
        <f t="shared" ca="1" si="3"/>
        <v/>
      </c>
      <c r="T10" s="222" t="str">
        <f ca="1">IF(B10="","",IF(ISERROR(MATCH($J10,SorP!$B$1:$B$6230,0)),"",INDIRECT("'SorP'!$A$"&amp;MATCH($J10,SorP!$B$1:$B$6230,0))))</f>
        <v/>
      </c>
      <c r="U10" s="238"/>
      <c r="V10" s="270" t="e">
        <f>IF(C10="",NA(),MATCH($B10&amp;$C10,'Smelter Look-up'!$J:$J,0))</f>
        <v>#N/A</v>
      </c>
      <c r="W10" s="271"/>
      <c r="X10" s="271">
        <f t="shared" ca="1" si="4"/>
        <v>0</v>
      </c>
      <c r="Y10" s="271"/>
      <c r="Z10" s="271"/>
      <c r="AB10" s="273" t="str">
        <f t="shared" si="5"/>
        <v/>
      </c>
    </row>
    <row r="11" spans="1:34" s="272" customFormat="1" ht="19.95" customHeight="1">
      <c r="A11" s="324"/>
      <c r="B11" s="215" t="str">
        <f>IF(LEN(A11)=0,"",INDEX('Smelter Look-up'!$A:$A,MATCH($A11,'Smelter Look-up'!$E:$E,0)))</f>
        <v/>
      </c>
      <c r="C11" s="219" t="str">
        <f>IF(LEN(A11)=0,"",INDEX('Smelter Look-up'!$C:$C,MATCH($A11,'Smelter Look-up'!$E:$E,0)))</f>
        <v/>
      </c>
      <c r="D11" s="278"/>
      <c r="E11" s="215" t="str">
        <f ca="1">IF(ISERROR($V11),"",OFFSET('Smelter Look-up'!$D$4,$V11-4,0)&amp;"")</f>
        <v/>
      </c>
      <c r="F11" s="215" t="str">
        <f ca="1">IF(ISERROR($V11),"",OFFSET('Smelter Look-up'!$E$4,$V11-4,0))</f>
        <v/>
      </c>
      <c r="G11" s="215" t="str">
        <f ca="1">IF(C11=$X$4,"Enter smelter details",IF(ISERROR($V11),"",OFFSET('Smelter Look-up'!$F$4,$V11-4,0)))</f>
        <v/>
      </c>
      <c r="H11" s="216" t="str">
        <f ca="1">IF(ISERROR($V11),"",OFFSET('Smelter Look-up'!$G$4,$V11-4,0))</f>
        <v/>
      </c>
      <c r="I11" s="217" t="str">
        <f ca="1">IF(ISERROR($V11),"",OFFSET('Smelter Look-up'!$H$4,$V11-4,0))</f>
        <v/>
      </c>
      <c r="J11" s="217" t="str">
        <f ca="1">IF(ISERROR($V11),"",OFFSET('Smelter Look-up'!$I$4,$V11-4,0))</f>
        <v/>
      </c>
      <c r="K11" s="268"/>
      <c r="L11" s="268"/>
      <c r="M11" s="268"/>
      <c r="N11" s="268"/>
      <c r="O11" s="268"/>
      <c r="P11" s="218"/>
      <c r="Q11" s="269"/>
      <c r="R11" s="215" t="str">
        <f ca="1">IF(ISERROR($V11),"",OFFSET('Smelter Look-up'!$C$4,$V11-4,0)&amp;"")</f>
        <v/>
      </c>
      <c r="S11" s="222" t="str">
        <f t="shared" ca="1" si="3"/>
        <v/>
      </c>
      <c r="T11" s="222" t="str">
        <f ca="1">IF(B11="","",IF(ISERROR(MATCH($J11,SorP!$B$1:$B$6230,0)),"",INDIRECT("'SorP'!$A$"&amp;MATCH($J11,SorP!$B$1:$B$6230,0))))</f>
        <v/>
      </c>
      <c r="U11" s="238"/>
      <c r="V11" s="270" t="e">
        <f>IF(C11="",NA(),MATCH($B11&amp;$C11,'Smelter Look-up'!$J:$J,0))</f>
        <v>#N/A</v>
      </c>
      <c r="W11" s="271"/>
      <c r="X11" s="271">
        <f t="shared" ca="1" si="4"/>
        <v>0</v>
      </c>
      <c r="Y11" s="271"/>
      <c r="Z11" s="271"/>
      <c r="AB11" s="273" t="str">
        <f t="shared" si="5"/>
        <v/>
      </c>
    </row>
    <row r="12" spans="1:34" s="272" customFormat="1" ht="19.95" customHeight="1">
      <c r="A12" s="324"/>
      <c r="B12" s="215" t="str">
        <f>IF(LEN(A12)=0,"",INDEX('Smelter Look-up'!$A:$A,MATCH($A12,'Smelter Look-up'!$E:$E,0)))</f>
        <v/>
      </c>
      <c r="C12" s="219" t="str">
        <f>IF(LEN(A12)=0,"",INDEX('Smelter Look-up'!$C:$C,MATCH($A12,'Smelter Look-up'!$E:$E,0)))</f>
        <v/>
      </c>
      <c r="D12" s="278"/>
      <c r="E12" s="215" t="str">
        <f ca="1">IF(ISERROR($V12),"",OFFSET('Smelter Look-up'!$D$4,$V12-4,0)&amp;"")</f>
        <v/>
      </c>
      <c r="F12" s="215" t="str">
        <f ca="1">IF(ISERROR($V12),"",OFFSET('Smelter Look-up'!$E$4,$V12-4,0))</f>
        <v/>
      </c>
      <c r="G12" s="215" t="str">
        <f ca="1">IF(C12=$X$4,"Enter smelter details",IF(ISERROR($V12),"",OFFSET('Smelter Look-up'!$F$4,$V12-4,0)))</f>
        <v/>
      </c>
      <c r="H12" s="216" t="str">
        <f ca="1">IF(ISERROR($V12),"",OFFSET('Smelter Look-up'!$G$4,$V12-4,0))</f>
        <v/>
      </c>
      <c r="I12" s="217" t="str">
        <f ca="1">IF(ISERROR($V12),"",OFFSET('Smelter Look-up'!$H$4,$V12-4,0))</f>
        <v/>
      </c>
      <c r="J12" s="217" t="str">
        <f ca="1">IF(ISERROR($V12),"",OFFSET('Smelter Look-up'!$I$4,$V12-4,0))</f>
        <v/>
      </c>
      <c r="K12" s="268"/>
      <c r="L12" s="268"/>
      <c r="M12" s="268"/>
      <c r="N12" s="268"/>
      <c r="O12" s="268"/>
      <c r="P12" s="218"/>
      <c r="Q12" s="269"/>
      <c r="R12" s="215" t="str">
        <f ca="1">IF(ISERROR($V12),"",OFFSET('Smelter Look-up'!$C$4,$V12-4,0)&amp;"")</f>
        <v/>
      </c>
      <c r="S12" s="222" t="str">
        <f t="shared" ca="1" si="3"/>
        <v/>
      </c>
      <c r="T12" s="222" t="str">
        <f ca="1">IF(B12="","",IF(ISERROR(MATCH($J12,SorP!$B$1:$B$6230,0)),"",INDIRECT("'SorP'!$A$"&amp;MATCH($J12,SorP!$B$1:$B$6230,0))))</f>
        <v/>
      </c>
      <c r="U12" s="238"/>
      <c r="V12" s="270" t="e">
        <f>IF(C12="",NA(),MATCH($B12&amp;$C12,'Smelter Look-up'!$J:$J,0))</f>
        <v>#N/A</v>
      </c>
      <c r="W12" s="271"/>
      <c r="X12" s="271">
        <f t="shared" ca="1" si="4"/>
        <v>0</v>
      </c>
      <c r="Y12" s="271"/>
      <c r="Z12" s="271"/>
      <c r="AB12" s="273" t="str">
        <f t="shared" si="5"/>
        <v/>
      </c>
    </row>
    <row r="13" spans="1:34" s="272" customFormat="1" ht="19.95" customHeight="1">
      <c r="A13" s="324"/>
      <c r="B13" s="215" t="str">
        <f>IF(LEN(A13)=0,"",INDEX('Smelter Look-up'!$A:$A,MATCH($A13,'Smelter Look-up'!$E:$E,0)))</f>
        <v/>
      </c>
      <c r="C13" s="219" t="str">
        <f>IF(LEN(A13)=0,"",INDEX('Smelter Look-up'!$C:$C,MATCH($A13,'Smelter Look-up'!$E:$E,0)))</f>
        <v/>
      </c>
      <c r="D13" s="278"/>
      <c r="E13" s="215" t="str">
        <f ca="1">IF(ISERROR($V13),"",OFFSET('Smelter Look-up'!$D$4,$V13-4,0)&amp;"")</f>
        <v/>
      </c>
      <c r="F13" s="215" t="str">
        <f ca="1">IF(ISERROR($V13),"",OFFSET('Smelter Look-up'!$E$4,$V13-4,0))</f>
        <v/>
      </c>
      <c r="G13" s="215" t="str">
        <f ca="1">IF(C13=$X$4,"Enter smelter details",IF(ISERROR($V13),"",OFFSET('Smelter Look-up'!$F$4,$V13-4,0)))</f>
        <v/>
      </c>
      <c r="H13" s="216" t="str">
        <f ca="1">IF(ISERROR($V13),"",OFFSET('Smelter Look-up'!$G$4,$V13-4,0))</f>
        <v/>
      </c>
      <c r="I13" s="217" t="str">
        <f ca="1">IF(ISERROR($V13),"",OFFSET('Smelter Look-up'!$H$4,$V13-4,0))</f>
        <v/>
      </c>
      <c r="J13" s="217" t="str">
        <f ca="1">IF(ISERROR($V13),"",OFFSET('Smelter Look-up'!$I$4,$V13-4,0))</f>
        <v/>
      </c>
      <c r="K13" s="268"/>
      <c r="L13" s="268"/>
      <c r="M13" s="268"/>
      <c r="N13" s="268"/>
      <c r="O13" s="268"/>
      <c r="P13" s="218"/>
      <c r="Q13" s="269"/>
      <c r="R13" s="215" t="str">
        <f ca="1">IF(ISERROR($V13),"",OFFSET('Smelter Look-up'!$C$4,$V13-4,0)&amp;"")</f>
        <v/>
      </c>
      <c r="S13" s="222" t="str">
        <f t="shared" ca="1" si="3"/>
        <v/>
      </c>
      <c r="T13" s="222" t="str">
        <f ca="1">IF(B13="","",IF(ISERROR(MATCH($J13,SorP!$B$1:$B$6230,0)),"",INDIRECT("'SorP'!$A$"&amp;MATCH($J13,SorP!$B$1:$B$6230,0))))</f>
        <v/>
      </c>
      <c r="U13" s="238"/>
      <c r="V13" s="270" t="e">
        <f>IF(C13="",NA(),MATCH($B13&amp;$C13,'Smelter Look-up'!$J:$J,0))</f>
        <v>#N/A</v>
      </c>
      <c r="W13" s="271"/>
      <c r="X13" s="271">
        <f t="shared" ca="1" si="4"/>
        <v>0</v>
      </c>
      <c r="Y13" s="271"/>
      <c r="Z13" s="271"/>
      <c r="AB13" s="273" t="str">
        <f t="shared" si="5"/>
        <v/>
      </c>
    </row>
    <row r="14" spans="1:34" s="272" customFormat="1" ht="19.95" customHeight="1">
      <c r="A14" s="324"/>
      <c r="B14" s="215" t="str">
        <f>IF(LEN(A14)=0,"",INDEX('Smelter Look-up'!$A:$A,MATCH($A14,'Smelter Look-up'!$E:$E,0)))</f>
        <v/>
      </c>
      <c r="C14" s="219" t="str">
        <f>IF(LEN(A14)=0,"",INDEX('Smelter Look-up'!$C:$C,MATCH($A14,'Smelter Look-up'!$E:$E,0)))</f>
        <v/>
      </c>
      <c r="D14" s="278"/>
      <c r="E14" s="215" t="str">
        <f ca="1">IF(ISERROR($V14),"",OFFSET('Smelter Look-up'!$D$4,$V14-4,0)&amp;"")</f>
        <v/>
      </c>
      <c r="F14" s="215" t="str">
        <f ca="1">IF(ISERROR($V14),"",OFFSET('Smelter Look-up'!$E$4,$V14-4,0))</f>
        <v/>
      </c>
      <c r="G14" s="215" t="str">
        <f ca="1">IF(C14=$X$4,"Enter smelter details",IF(ISERROR($V14),"",OFFSET('Smelter Look-up'!$F$4,$V14-4,0)))</f>
        <v/>
      </c>
      <c r="H14" s="216" t="str">
        <f ca="1">IF(ISERROR($V14),"",OFFSET('Smelter Look-up'!$G$4,$V14-4,0))</f>
        <v/>
      </c>
      <c r="I14" s="217" t="str">
        <f ca="1">IF(ISERROR($V14),"",OFFSET('Smelter Look-up'!$H$4,$V14-4,0))</f>
        <v/>
      </c>
      <c r="J14" s="217" t="str">
        <f ca="1">IF(ISERROR($V14),"",OFFSET('Smelter Look-up'!$I$4,$V14-4,0))</f>
        <v/>
      </c>
      <c r="K14" s="268"/>
      <c r="L14" s="268"/>
      <c r="M14" s="268"/>
      <c r="N14" s="268"/>
      <c r="O14" s="268"/>
      <c r="P14" s="218"/>
      <c r="Q14" s="269"/>
      <c r="R14" s="215" t="str">
        <f ca="1">IF(ISERROR($V14),"",OFFSET('Smelter Look-up'!$C$4,$V14-4,0)&amp;"")</f>
        <v/>
      </c>
      <c r="S14" s="222" t="str">
        <f t="shared" ca="1" si="3"/>
        <v/>
      </c>
      <c r="T14" s="222" t="str">
        <f ca="1">IF(B14="","",IF(ISERROR(MATCH($J14,SorP!$B$1:$B$6230,0)),"",INDIRECT("'SorP'!$A$"&amp;MATCH($J14,SorP!$B$1:$B$6230,0))))</f>
        <v/>
      </c>
      <c r="U14" s="238"/>
      <c r="V14" s="270" t="e">
        <f>IF(C14="",NA(),MATCH($B14&amp;$C14,'Smelter Look-up'!$J:$J,0))</f>
        <v>#N/A</v>
      </c>
      <c r="W14" s="271"/>
      <c r="X14" s="271">
        <f t="shared" ca="1" si="4"/>
        <v>0</v>
      </c>
      <c r="Y14" s="271"/>
      <c r="Z14" s="271"/>
      <c r="AB14" s="273" t="str">
        <f t="shared" si="5"/>
        <v/>
      </c>
    </row>
    <row r="15" spans="1:34" s="272" customFormat="1" ht="19.95" customHeight="1">
      <c r="A15" s="324"/>
      <c r="B15" s="215" t="str">
        <f>IF(LEN(A15)=0,"",INDEX('Smelter Look-up'!$A:$A,MATCH($A15,'Smelter Look-up'!$E:$E,0)))</f>
        <v/>
      </c>
      <c r="C15" s="219" t="str">
        <f>IF(LEN(A15)=0,"",INDEX('Smelter Look-up'!$C:$C,MATCH($A15,'Smelter Look-up'!$E:$E,0)))</f>
        <v/>
      </c>
      <c r="D15" s="278"/>
      <c r="E15" s="215" t="str">
        <f ca="1">IF(ISERROR($V15),"",OFFSET('Smelter Look-up'!$D$4,$V15-4,0)&amp;"")</f>
        <v/>
      </c>
      <c r="F15" s="215" t="str">
        <f ca="1">IF(ISERROR($V15),"",OFFSET('Smelter Look-up'!$E$4,$V15-4,0))</f>
        <v/>
      </c>
      <c r="G15" s="215" t="str">
        <f ca="1">IF(C15=$X$4,"Enter smelter details",IF(ISERROR($V15),"",OFFSET('Smelter Look-up'!$F$4,$V15-4,0)))</f>
        <v/>
      </c>
      <c r="H15" s="216" t="str">
        <f ca="1">IF(ISERROR($V15),"",OFFSET('Smelter Look-up'!$G$4,$V15-4,0))</f>
        <v/>
      </c>
      <c r="I15" s="217" t="str">
        <f ca="1">IF(ISERROR($V15),"",OFFSET('Smelter Look-up'!$H$4,$V15-4,0))</f>
        <v/>
      </c>
      <c r="J15" s="217" t="str">
        <f ca="1">IF(ISERROR($V15),"",OFFSET('Smelter Look-up'!$I$4,$V15-4,0))</f>
        <v/>
      </c>
      <c r="K15" s="268"/>
      <c r="L15" s="268"/>
      <c r="M15" s="268"/>
      <c r="N15" s="268"/>
      <c r="O15" s="268"/>
      <c r="P15" s="218"/>
      <c r="Q15" s="269"/>
      <c r="R15" s="215" t="str">
        <f ca="1">IF(ISERROR($V15),"",OFFSET('Smelter Look-up'!$C$4,$V15-4,0)&amp;"")</f>
        <v/>
      </c>
      <c r="S15" s="222" t="str">
        <f t="shared" ca="1" si="3"/>
        <v/>
      </c>
      <c r="T15" s="222" t="str">
        <f ca="1">IF(B15="","",IF(ISERROR(MATCH($J15,SorP!$B$1:$B$6230,0)),"",INDIRECT("'SorP'!$A$"&amp;MATCH($J15,SorP!$B$1:$B$6230,0))))</f>
        <v/>
      </c>
      <c r="U15" s="238"/>
      <c r="V15" s="270" t="e">
        <f>IF(C15="",NA(),MATCH($B15&amp;$C15,'Smelter Look-up'!$J:$J,0))</f>
        <v>#N/A</v>
      </c>
      <c r="W15" s="271"/>
      <c r="X15" s="271">
        <f t="shared" ca="1" si="4"/>
        <v>0</v>
      </c>
      <c r="Y15" s="271"/>
      <c r="Z15" s="271"/>
      <c r="AB15" s="273" t="str">
        <f t="shared" si="5"/>
        <v/>
      </c>
    </row>
    <row r="16" spans="1:34" s="272" customFormat="1" ht="19.95" customHeight="1">
      <c r="A16" s="324"/>
      <c r="B16" s="215" t="str">
        <f>IF(LEN(A16)=0,"",INDEX('Smelter Look-up'!$A:$A,MATCH($A16,'Smelter Look-up'!$E:$E,0)))</f>
        <v/>
      </c>
      <c r="C16" s="219" t="str">
        <f>IF(LEN(A16)=0,"",INDEX('Smelter Look-up'!$C:$C,MATCH($A16,'Smelter Look-up'!$E:$E,0)))</f>
        <v/>
      </c>
      <c r="D16" s="278"/>
      <c r="E16" s="215" t="str">
        <f ca="1">IF(ISERROR($V16),"",OFFSET('Smelter Look-up'!$D$4,$V16-4,0)&amp;"")</f>
        <v/>
      </c>
      <c r="F16" s="215" t="str">
        <f ca="1">IF(ISERROR($V16),"",OFFSET('Smelter Look-up'!$E$4,$V16-4,0))</f>
        <v/>
      </c>
      <c r="G16" s="215" t="str">
        <f ca="1">IF(C16=$X$4,"Enter smelter details",IF(ISERROR($V16),"",OFFSET('Smelter Look-up'!$F$4,$V16-4,0)))</f>
        <v/>
      </c>
      <c r="H16" s="216" t="str">
        <f ca="1">IF(ISERROR($V16),"",OFFSET('Smelter Look-up'!$G$4,$V16-4,0))</f>
        <v/>
      </c>
      <c r="I16" s="217" t="str">
        <f ca="1">IF(ISERROR($V16),"",OFFSET('Smelter Look-up'!$H$4,$V16-4,0))</f>
        <v/>
      </c>
      <c r="J16" s="217" t="str">
        <f ca="1">IF(ISERROR($V16),"",OFFSET('Smelter Look-up'!$I$4,$V16-4,0))</f>
        <v/>
      </c>
      <c r="K16" s="268"/>
      <c r="L16" s="268"/>
      <c r="M16" s="268"/>
      <c r="N16" s="268"/>
      <c r="O16" s="268"/>
      <c r="P16" s="218"/>
      <c r="Q16" s="269"/>
      <c r="R16" s="215" t="str">
        <f ca="1">IF(ISERROR($V16),"",OFFSET('Smelter Look-up'!$C$4,$V16-4,0)&amp;"")</f>
        <v/>
      </c>
      <c r="S16" s="222" t="str">
        <f t="shared" ca="1" si="3"/>
        <v/>
      </c>
      <c r="T16" s="222" t="str">
        <f ca="1">IF(B16="","",IF(ISERROR(MATCH($J16,SorP!$B$1:$B$6230,0)),"",INDIRECT("'SorP'!$A$"&amp;MATCH($J16,SorP!$B$1:$B$6230,0))))</f>
        <v/>
      </c>
      <c r="U16" s="238"/>
      <c r="V16" s="270" t="e">
        <f>IF(C16="",NA(),MATCH($B16&amp;$C16,'Smelter Look-up'!$J:$J,0))</f>
        <v>#N/A</v>
      </c>
      <c r="W16" s="271"/>
      <c r="X16" s="271">
        <f t="shared" ca="1" si="4"/>
        <v>0</v>
      </c>
      <c r="Y16" s="271"/>
      <c r="Z16" s="271"/>
      <c r="AB16" s="273" t="str">
        <f t="shared" si="5"/>
        <v/>
      </c>
    </row>
    <row r="17" spans="1:28" s="272" customFormat="1" ht="19.95" customHeight="1">
      <c r="A17" s="324"/>
      <c r="B17" s="215" t="str">
        <f>IF(LEN(A17)=0,"",INDEX('Smelter Look-up'!$A:$A,MATCH($A17,'Smelter Look-up'!$E:$E,0)))</f>
        <v/>
      </c>
      <c r="C17" s="219" t="str">
        <f>IF(LEN(A17)=0,"",INDEX('Smelter Look-up'!$C:$C,MATCH($A17,'Smelter Look-up'!$E:$E,0)))</f>
        <v/>
      </c>
      <c r="D17" s="278"/>
      <c r="E17" s="215" t="str">
        <f ca="1">IF(ISERROR($V17),"",OFFSET('Smelter Look-up'!$D$4,$V17-4,0)&amp;"")</f>
        <v/>
      </c>
      <c r="F17" s="215" t="str">
        <f ca="1">IF(ISERROR($V17),"",OFFSET('Smelter Look-up'!$E$4,$V17-4,0))</f>
        <v/>
      </c>
      <c r="G17" s="215" t="str">
        <f ca="1">IF(C17=$X$4,"Enter smelter details",IF(ISERROR($V17),"",OFFSET('Smelter Look-up'!$F$4,$V17-4,0)))</f>
        <v/>
      </c>
      <c r="H17" s="216" t="str">
        <f ca="1">IF(ISERROR($V17),"",OFFSET('Smelter Look-up'!$G$4,$V17-4,0))</f>
        <v/>
      </c>
      <c r="I17" s="217" t="str">
        <f ca="1">IF(ISERROR($V17),"",OFFSET('Smelter Look-up'!$H$4,$V17-4,0))</f>
        <v/>
      </c>
      <c r="J17" s="217" t="str">
        <f ca="1">IF(ISERROR($V17),"",OFFSET('Smelter Look-up'!$I$4,$V17-4,0))</f>
        <v/>
      </c>
      <c r="K17" s="268"/>
      <c r="L17" s="268"/>
      <c r="M17" s="268"/>
      <c r="N17" s="268"/>
      <c r="O17" s="268"/>
      <c r="P17" s="218"/>
      <c r="Q17" s="269"/>
      <c r="R17" s="215" t="str">
        <f ca="1">IF(ISERROR($V17),"",OFFSET('Smelter Look-up'!$C$4,$V17-4,0)&amp;"")</f>
        <v/>
      </c>
      <c r="S17" s="222" t="str">
        <f t="shared" ca="1" si="3"/>
        <v/>
      </c>
      <c r="T17" s="222" t="str">
        <f ca="1">IF(B17="","",IF(ISERROR(MATCH($J17,SorP!$B$1:$B$6230,0)),"",INDIRECT("'SorP'!$A$"&amp;MATCH($J17,SorP!$B$1:$B$6230,0))))</f>
        <v/>
      </c>
      <c r="U17" s="238"/>
      <c r="V17" s="270" t="e">
        <f>IF(C17="",NA(),MATCH($B17&amp;$C17,'Smelter Look-up'!$J:$J,0))</f>
        <v>#N/A</v>
      </c>
      <c r="W17" s="271"/>
      <c r="X17" s="271">
        <f t="shared" ca="1" si="4"/>
        <v>0</v>
      </c>
      <c r="Y17" s="271"/>
      <c r="Z17" s="271"/>
      <c r="AB17" s="273" t="str">
        <f t="shared" si="5"/>
        <v/>
      </c>
    </row>
    <row r="18" spans="1:28" s="272" customFormat="1" ht="19.95" customHeight="1">
      <c r="A18" s="214"/>
      <c r="B18" s="215" t="str">
        <f>IF(LEN(A18)=0,"",INDEX('Smelter Look-up'!$A:$A,MATCH($A18,'Smelter Look-up'!$E:$E,0)))</f>
        <v/>
      </c>
      <c r="C18" s="219" t="str">
        <f>IF(LEN(A18)=0,"",INDEX('Smelter Look-up'!$C:$C,MATCH($A18,'Smelter Look-up'!$E:$E,0)))</f>
        <v/>
      </c>
      <c r="D18" s="278"/>
      <c r="E18" s="215" t="str">
        <f ca="1">IF(ISERROR($V18),"",OFFSET('Smelter Look-up'!$D$4,$V18-4,0)&amp;"")</f>
        <v/>
      </c>
      <c r="F18" s="215" t="str">
        <f ca="1">IF(ISERROR($V18),"",OFFSET('Smelter Look-up'!$E$4,$V18-4,0))</f>
        <v/>
      </c>
      <c r="G18" s="215" t="str">
        <f ca="1">IF(C18=$X$4,"Enter smelter details",IF(ISERROR($V18),"",OFFSET('Smelter Look-up'!$F$4,$V18-4,0)))</f>
        <v/>
      </c>
      <c r="H18" s="216" t="str">
        <f ca="1">IF(ISERROR($V18),"",OFFSET('Smelter Look-up'!$G$4,$V18-4,0))</f>
        <v/>
      </c>
      <c r="I18" s="217" t="str">
        <f ca="1">IF(ISERROR($V18),"",OFFSET('Smelter Look-up'!$H$4,$V18-4,0))</f>
        <v/>
      </c>
      <c r="J18" s="217" t="str">
        <f ca="1">IF(ISERROR($V18),"",OFFSET('Smelter Look-up'!$I$4,$V18-4,0))</f>
        <v/>
      </c>
      <c r="K18" s="268"/>
      <c r="L18" s="268"/>
      <c r="M18" s="268"/>
      <c r="N18" s="268"/>
      <c r="O18" s="268"/>
      <c r="P18" s="218"/>
      <c r="Q18" s="269"/>
      <c r="R18" s="215" t="str">
        <f ca="1">IF(ISERROR($V18),"",OFFSET('Smelter Look-up'!$C$4,$V18-4,0)&amp;"")</f>
        <v/>
      </c>
      <c r="S18" s="222" t="str">
        <f t="shared" ca="1" si="3"/>
        <v/>
      </c>
      <c r="T18" s="222" t="str">
        <f ca="1">IF(B18="","",IF(ISERROR(MATCH($J18,SorP!$B$1:$B$6230,0)),"",INDIRECT("'SorP'!$A$"&amp;MATCH($J18,SorP!$B$1:$B$6230,0))))</f>
        <v/>
      </c>
      <c r="U18" s="238"/>
      <c r="V18" s="270" t="e">
        <f>IF(C18="",NA(),MATCH($B18&amp;$C18,'Smelter Look-up'!$J:$J,0))</f>
        <v>#N/A</v>
      </c>
      <c r="W18" s="271"/>
      <c r="X18" s="271">
        <f t="shared" ca="1" si="4"/>
        <v>0</v>
      </c>
      <c r="Y18" s="271"/>
      <c r="Z18" s="271"/>
      <c r="AB18" s="273" t="str">
        <f t="shared" si="5"/>
        <v/>
      </c>
    </row>
    <row r="19" spans="1:28" s="272" customFormat="1" ht="20.399999999999999">
      <c r="A19" s="214"/>
      <c r="B19" s="215" t="str">
        <f>IF(LEN(A19)=0,"",INDEX('Smelter Look-up'!$A:$A,MATCH($A19,'Smelter Look-up'!$E:$E,0)))</f>
        <v/>
      </c>
      <c r="C19" s="219" t="str">
        <f>IF(LEN(A19)=0,"",INDEX('Smelter Look-up'!$C:$C,MATCH($A19,'Smelter Look-up'!$E:$E,0)))</f>
        <v/>
      </c>
      <c r="D19" s="278"/>
      <c r="E19" s="215" t="str">
        <f ca="1">IF(ISERROR($V19),"",OFFSET('Smelter Look-up'!$D$4,$V19-4,0)&amp;"")</f>
        <v/>
      </c>
      <c r="F19" s="215" t="str">
        <f ca="1">IF(ISERROR($V19),"",OFFSET('Smelter Look-up'!$E$4,$V19-4,0))</f>
        <v/>
      </c>
      <c r="G19" s="215" t="str">
        <f ca="1">IF(C19=$X$4,"Enter smelter details",IF(ISERROR($V19),"",OFFSET('Smelter Look-up'!$F$4,$V19-4,0)))</f>
        <v/>
      </c>
      <c r="H19" s="216" t="str">
        <f ca="1">IF(ISERROR($V19),"",OFFSET('Smelter Look-up'!$G$4,$V19-4,0))</f>
        <v/>
      </c>
      <c r="I19" s="217" t="str">
        <f ca="1">IF(ISERROR($V19),"",OFFSET('Smelter Look-up'!$H$4,$V19-4,0))</f>
        <v/>
      </c>
      <c r="J19" s="217" t="str">
        <f ca="1">IF(ISERROR($V19),"",OFFSET('Smelter Look-up'!$I$4,$V19-4,0))</f>
        <v/>
      </c>
      <c r="K19" s="268"/>
      <c r="L19" s="268"/>
      <c r="M19" s="268"/>
      <c r="N19" s="268"/>
      <c r="O19" s="268"/>
      <c r="P19" s="218"/>
      <c r="Q19" s="269"/>
      <c r="R19" s="215" t="str">
        <f ca="1">IF(ISERROR($V19),"",OFFSET('Smelter Look-up'!$C$4,$V19-4,0)&amp;"")</f>
        <v/>
      </c>
      <c r="S19" s="222" t="str">
        <f t="shared" ca="1" si="3"/>
        <v/>
      </c>
      <c r="T19" s="222" t="str">
        <f ca="1">IF(B19="","",IF(ISERROR(MATCH($J19,SorP!$B$1:$B$6230,0)),"",INDIRECT("'SorP'!$A$"&amp;MATCH($J19,SorP!$B$1:$B$6230,0))))</f>
        <v/>
      </c>
      <c r="U19" s="238"/>
      <c r="V19" s="270" t="e">
        <f>IF(C19="",NA(),MATCH($B19&amp;$C19,'Smelter Look-up'!$J:$J,0))</f>
        <v>#N/A</v>
      </c>
      <c r="W19" s="271"/>
      <c r="X19" s="271">
        <f t="shared" ca="1" si="4"/>
        <v>0</v>
      </c>
      <c r="Y19" s="271"/>
      <c r="Z19" s="271"/>
      <c r="AB19" s="273" t="str">
        <f t="shared" si="5"/>
        <v/>
      </c>
    </row>
    <row r="20" spans="1:28" s="272" customFormat="1" ht="20.399999999999999">
      <c r="A20" s="214"/>
      <c r="B20" s="215" t="str">
        <f>IF(LEN(A20)=0,"",INDEX('Smelter Look-up'!$A:$A,MATCH($A20,'Smelter Look-up'!$E:$E,0)))</f>
        <v/>
      </c>
      <c r="C20" s="219" t="str">
        <f>IF(LEN(A20)=0,"",INDEX('Smelter Look-up'!$C:$C,MATCH($A20,'Smelter Look-up'!$E:$E,0)))</f>
        <v/>
      </c>
      <c r="D20" s="278"/>
      <c r="E20" s="215" t="str">
        <f ca="1">IF(ISERROR($V20),"",OFFSET('Smelter Look-up'!$D$4,$V20-4,0)&amp;"")</f>
        <v/>
      </c>
      <c r="F20" s="215" t="str">
        <f ca="1">IF(ISERROR($V20),"",OFFSET('Smelter Look-up'!$E$4,$V20-4,0))</f>
        <v/>
      </c>
      <c r="G20" s="215" t="str">
        <f ca="1">IF(C20=$X$4,"Enter smelter details",IF(ISERROR($V20),"",OFFSET('Smelter Look-up'!$F$4,$V20-4,0)))</f>
        <v/>
      </c>
      <c r="H20" s="216" t="str">
        <f ca="1">IF(ISERROR($V20),"",OFFSET('Smelter Look-up'!$G$4,$V20-4,0))</f>
        <v/>
      </c>
      <c r="I20" s="217" t="str">
        <f ca="1">IF(ISERROR($V20),"",OFFSET('Smelter Look-up'!$H$4,$V20-4,0))</f>
        <v/>
      </c>
      <c r="J20" s="217" t="str">
        <f ca="1">IF(ISERROR($V20),"",OFFSET('Smelter Look-up'!$I$4,$V20-4,0))</f>
        <v/>
      </c>
      <c r="K20" s="268"/>
      <c r="L20" s="268"/>
      <c r="M20" s="268"/>
      <c r="N20" s="268"/>
      <c r="O20" s="268"/>
      <c r="P20" s="218"/>
      <c r="Q20" s="269"/>
      <c r="R20" s="215" t="str">
        <f ca="1">IF(ISERROR($V20),"",OFFSET('Smelter Look-up'!$C$4,$V20-4,0)&amp;"")</f>
        <v/>
      </c>
      <c r="S20" s="222" t="str">
        <f t="shared" ca="1" si="3"/>
        <v/>
      </c>
      <c r="T20" s="222" t="str">
        <f ca="1">IF(B20="","",IF(ISERROR(MATCH($J20,SorP!$B$1:$B$6230,0)),"",INDIRECT("'SorP'!$A$"&amp;MATCH($J20,SorP!$B$1:$B$6230,0))))</f>
        <v/>
      </c>
      <c r="U20" s="238"/>
      <c r="V20" s="270" t="e">
        <f>IF(C20="",NA(),MATCH($B20&amp;$C20,'Smelter Look-up'!$J:$J,0))</f>
        <v>#N/A</v>
      </c>
      <c r="W20" s="271"/>
      <c r="X20" s="271">
        <f t="shared" ca="1" si="4"/>
        <v>0</v>
      </c>
      <c r="Y20" s="271"/>
      <c r="Z20" s="271"/>
      <c r="AB20" s="273" t="str">
        <f t="shared" si="5"/>
        <v/>
      </c>
    </row>
    <row r="21" spans="1:28" s="272" customFormat="1" ht="20.399999999999999">
      <c r="A21" s="214"/>
      <c r="B21" s="215" t="str">
        <f>IF(LEN(A21)=0,"",INDEX('Smelter Look-up'!$A:$A,MATCH($A21,'Smelter Look-up'!$E:$E,0)))</f>
        <v/>
      </c>
      <c r="C21" s="219" t="str">
        <f>IF(LEN(A21)=0,"",INDEX('Smelter Look-up'!$C:$C,MATCH($A21,'Smelter Look-up'!$E:$E,0)))</f>
        <v/>
      </c>
      <c r="D21" s="278"/>
      <c r="E21" s="215" t="str">
        <f ca="1">IF(ISERROR($V21),"",OFFSET('Smelter Look-up'!$D$4,$V21-4,0)&amp;"")</f>
        <v/>
      </c>
      <c r="F21" s="215" t="str">
        <f ca="1">IF(ISERROR($V21),"",OFFSET('Smelter Look-up'!$E$4,$V21-4,0))</f>
        <v/>
      </c>
      <c r="G21" s="215" t="str">
        <f ca="1">IF(C21=$X$4,"Enter smelter details",IF(ISERROR($V21),"",OFFSET('Smelter Look-up'!$F$4,$V21-4,0)))</f>
        <v/>
      </c>
      <c r="H21" s="216" t="str">
        <f ca="1">IF(ISERROR($V21),"",OFFSET('Smelter Look-up'!$G$4,$V21-4,0))</f>
        <v/>
      </c>
      <c r="I21" s="217" t="str">
        <f ca="1">IF(ISERROR($V21),"",OFFSET('Smelter Look-up'!$H$4,$V21-4,0))</f>
        <v/>
      </c>
      <c r="J21" s="217" t="str">
        <f ca="1">IF(ISERROR($V21),"",OFFSET('Smelter Look-up'!$I$4,$V21-4,0))</f>
        <v/>
      </c>
      <c r="K21" s="268"/>
      <c r="L21" s="268"/>
      <c r="M21" s="268"/>
      <c r="N21" s="268"/>
      <c r="O21" s="268"/>
      <c r="P21" s="218"/>
      <c r="Q21" s="269"/>
      <c r="R21" s="215" t="str">
        <f ca="1">IF(ISERROR($V21),"",OFFSET('Smelter Look-up'!$C$4,$V21-4,0)&amp;"")</f>
        <v/>
      </c>
      <c r="S21" s="222" t="str">
        <f t="shared" ca="1" si="3"/>
        <v/>
      </c>
      <c r="T21" s="222" t="str">
        <f ca="1">IF(B21="","",IF(ISERROR(MATCH($J21,SorP!$B$1:$B$6230,0)),"",INDIRECT("'SorP'!$A$"&amp;MATCH($J21,SorP!$B$1:$B$6230,0))))</f>
        <v/>
      </c>
      <c r="U21" s="238"/>
      <c r="V21" s="270" t="e">
        <f>IF(C21="",NA(),MATCH($B21&amp;$C21,'Smelter Look-up'!$J:$J,0))</f>
        <v>#N/A</v>
      </c>
      <c r="W21" s="271"/>
      <c r="X21" s="271">
        <f t="shared" ca="1" si="4"/>
        <v>0</v>
      </c>
      <c r="Y21" s="271"/>
      <c r="Z21" s="271"/>
      <c r="AB21" s="273" t="str">
        <f t="shared" si="5"/>
        <v/>
      </c>
    </row>
    <row r="22" spans="1:28" s="272" customFormat="1" ht="20.399999999999999">
      <c r="A22" s="214"/>
      <c r="B22" s="215" t="str">
        <f>IF(LEN(A22)=0,"",INDEX('Smelter Look-up'!$A:$A,MATCH($A22,'Smelter Look-up'!$E:$E,0)))</f>
        <v/>
      </c>
      <c r="C22" s="219" t="str">
        <f>IF(LEN(A22)=0,"",INDEX('Smelter Look-up'!$C:$C,MATCH($A22,'Smelter Look-up'!$E:$E,0)))</f>
        <v/>
      </c>
      <c r="D22" s="278"/>
      <c r="E22" s="215" t="str">
        <f ca="1">IF(ISERROR($V22),"",OFFSET('Smelter Look-up'!$D$4,$V22-4,0)&amp;"")</f>
        <v/>
      </c>
      <c r="F22" s="215" t="str">
        <f ca="1">IF(ISERROR($V22),"",OFFSET('Smelter Look-up'!$E$4,$V22-4,0))</f>
        <v/>
      </c>
      <c r="G22" s="215" t="str">
        <f ca="1">IF(C22=$X$4,"Enter smelter details",IF(ISERROR($V22),"",OFFSET('Smelter Look-up'!$F$4,$V22-4,0)))</f>
        <v/>
      </c>
      <c r="H22" s="216" t="str">
        <f ca="1">IF(ISERROR($V22),"",OFFSET('Smelter Look-up'!$G$4,$V22-4,0))</f>
        <v/>
      </c>
      <c r="I22" s="217" t="str">
        <f ca="1">IF(ISERROR($V22),"",OFFSET('Smelter Look-up'!$H$4,$V22-4,0))</f>
        <v/>
      </c>
      <c r="J22" s="217" t="str">
        <f ca="1">IF(ISERROR($V22),"",OFFSET('Smelter Look-up'!$I$4,$V22-4,0))</f>
        <v/>
      </c>
      <c r="K22" s="268"/>
      <c r="L22" s="268"/>
      <c r="M22" s="268"/>
      <c r="N22" s="268"/>
      <c r="O22" s="268"/>
      <c r="P22" s="218"/>
      <c r="Q22" s="269"/>
      <c r="R22" s="215" t="str">
        <f ca="1">IF(ISERROR($V22),"",OFFSET('Smelter Look-up'!$C$4,$V22-4,0)&amp;"")</f>
        <v/>
      </c>
      <c r="S22" s="222" t="str">
        <f t="shared" ca="1" si="3"/>
        <v/>
      </c>
      <c r="T22" s="222" t="str">
        <f ca="1">IF(B22="","",IF(ISERROR(MATCH($J22,SorP!$B$1:$B$6230,0)),"",INDIRECT("'SorP'!$A$"&amp;MATCH($J22,SorP!$B$1:$B$6230,0))))</f>
        <v/>
      </c>
      <c r="U22" s="238"/>
      <c r="V22" s="270" t="e">
        <f>IF(C22="",NA(),MATCH($B22&amp;$C22,'Smelter Look-up'!$J:$J,0))</f>
        <v>#N/A</v>
      </c>
      <c r="W22" s="271"/>
      <c r="X22" s="271">
        <f t="shared" ca="1" si="4"/>
        <v>0</v>
      </c>
      <c r="Y22" s="271"/>
      <c r="Z22" s="271"/>
      <c r="AB22" s="273" t="str">
        <f t="shared" si="5"/>
        <v/>
      </c>
    </row>
    <row r="23" spans="1:28" s="272" customFormat="1" ht="20.399999999999999">
      <c r="A23" s="214"/>
      <c r="B23" s="215" t="str">
        <f>IF(LEN(A23)=0,"",INDEX('Smelter Look-up'!$A:$A,MATCH($A23,'Smelter Look-up'!$E:$E,0)))</f>
        <v/>
      </c>
      <c r="C23" s="219" t="str">
        <f>IF(LEN(A23)=0,"",INDEX('Smelter Look-up'!$C:$C,MATCH($A23,'Smelter Look-up'!$E:$E,0)))</f>
        <v/>
      </c>
      <c r="D23" s="278"/>
      <c r="E23" s="215" t="str">
        <f ca="1">IF(ISERROR($V23),"",OFFSET('Smelter Look-up'!$D$4,$V23-4,0)&amp;"")</f>
        <v/>
      </c>
      <c r="F23" s="215" t="str">
        <f ca="1">IF(ISERROR($V23),"",OFFSET('Smelter Look-up'!$E$4,$V23-4,0))</f>
        <v/>
      </c>
      <c r="G23" s="215" t="str">
        <f ca="1">IF(C23=$X$4,"Enter smelter details",IF(ISERROR($V23),"",OFFSET('Smelter Look-up'!$F$4,$V23-4,0)))</f>
        <v/>
      </c>
      <c r="H23" s="216" t="str">
        <f ca="1">IF(ISERROR($V23),"",OFFSET('Smelter Look-up'!$G$4,$V23-4,0))</f>
        <v/>
      </c>
      <c r="I23" s="217" t="str">
        <f ca="1">IF(ISERROR($V23),"",OFFSET('Smelter Look-up'!$H$4,$V23-4,0))</f>
        <v/>
      </c>
      <c r="J23" s="217" t="str">
        <f ca="1">IF(ISERROR($V23),"",OFFSET('Smelter Look-up'!$I$4,$V23-4,0))</f>
        <v/>
      </c>
      <c r="K23" s="268"/>
      <c r="L23" s="268"/>
      <c r="M23" s="268"/>
      <c r="N23" s="268"/>
      <c r="O23" s="268"/>
      <c r="P23" s="218"/>
      <c r="Q23" s="269"/>
      <c r="R23" s="215" t="str">
        <f ca="1">IF(ISERROR($V23),"",OFFSET('Smelter Look-up'!$C$4,$V23-4,0)&amp;"")</f>
        <v/>
      </c>
      <c r="S23" s="222" t="str">
        <f t="shared" ca="1" si="3"/>
        <v/>
      </c>
      <c r="T23" s="222" t="str">
        <f ca="1">IF(B23="","",IF(ISERROR(MATCH($J23,SorP!$B$1:$B$6230,0)),"",INDIRECT("'SorP'!$A$"&amp;MATCH($J23,SorP!$B$1:$B$6230,0))))</f>
        <v/>
      </c>
      <c r="U23" s="238"/>
      <c r="V23" s="270" t="e">
        <f>IF(C23="",NA(),MATCH($B23&amp;$C23,'Smelter Look-up'!$J:$J,0))</f>
        <v>#N/A</v>
      </c>
      <c r="W23" s="271"/>
      <c r="X23" s="271">
        <f t="shared" ca="1" si="4"/>
        <v>0</v>
      </c>
      <c r="Y23" s="271"/>
      <c r="Z23" s="271"/>
      <c r="AB23" s="273" t="str">
        <f t="shared" si="5"/>
        <v/>
      </c>
    </row>
    <row r="24" spans="1:28" s="272" customFormat="1" ht="20.399999999999999">
      <c r="A24" s="214"/>
      <c r="B24" s="215" t="str">
        <f>IF(LEN(A24)=0,"",INDEX('Smelter Look-up'!$A:$A,MATCH($A24,'Smelter Look-up'!$E:$E,0)))</f>
        <v/>
      </c>
      <c r="C24" s="219" t="str">
        <f>IF(LEN(A24)=0,"",INDEX('Smelter Look-up'!$C:$C,MATCH($A24,'Smelter Look-up'!$E:$E,0)))</f>
        <v/>
      </c>
      <c r="D24" s="278"/>
      <c r="E24" s="215" t="str">
        <f ca="1">IF(ISERROR($V24),"",OFFSET('Smelter Look-up'!$D$4,$V24-4,0)&amp;"")</f>
        <v/>
      </c>
      <c r="F24" s="215" t="str">
        <f ca="1">IF(ISERROR($V24),"",OFFSET('Smelter Look-up'!$E$4,$V24-4,0))</f>
        <v/>
      </c>
      <c r="G24" s="215" t="str">
        <f ca="1">IF(C24=$X$4,"Enter smelter details",IF(ISERROR($V24),"",OFFSET('Smelter Look-up'!$F$4,$V24-4,0)))</f>
        <v/>
      </c>
      <c r="H24" s="216" t="str">
        <f ca="1">IF(ISERROR($V24),"",OFFSET('Smelter Look-up'!$G$4,$V24-4,0))</f>
        <v/>
      </c>
      <c r="I24" s="217" t="str">
        <f ca="1">IF(ISERROR($V24),"",OFFSET('Smelter Look-up'!$H$4,$V24-4,0))</f>
        <v/>
      </c>
      <c r="J24" s="217" t="str">
        <f ca="1">IF(ISERROR($V24),"",OFFSET('Smelter Look-up'!$I$4,$V24-4,0))</f>
        <v/>
      </c>
      <c r="K24" s="268"/>
      <c r="L24" s="268"/>
      <c r="M24" s="268"/>
      <c r="N24" s="268"/>
      <c r="O24" s="268"/>
      <c r="P24" s="218"/>
      <c r="Q24" s="269"/>
      <c r="R24" s="215" t="str">
        <f ca="1">IF(ISERROR($V24),"",OFFSET('Smelter Look-up'!$C$4,$V24-4,0)&amp;"")</f>
        <v/>
      </c>
      <c r="S24" s="222" t="str">
        <f t="shared" ca="1" si="3"/>
        <v/>
      </c>
      <c r="T24" s="222" t="str">
        <f ca="1">IF(B24="","",IF(ISERROR(MATCH($J24,SorP!$B$1:$B$6230,0)),"",INDIRECT("'SorP'!$A$"&amp;MATCH($J24,SorP!$B$1:$B$6230,0))))</f>
        <v/>
      </c>
      <c r="U24" s="238"/>
      <c r="V24" s="270" t="e">
        <f>IF(C24="",NA(),MATCH($B24&amp;$C24,'Smelter Look-up'!$J:$J,0))</f>
        <v>#N/A</v>
      </c>
      <c r="W24" s="271"/>
      <c r="X24" s="271">
        <f t="shared" ca="1" si="4"/>
        <v>0</v>
      </c>
      <c r="Y24" s="271"/>
      <c r="Z24" s="271"/>
      <c r="AB24" s="273" t="str">
        <f t="shared" si="5"/>
        <v/>
      </c>
    </row>
    <row r="25" spans="1:28" s="272" customFormat="1" ht="20.399999999999999">
      <c r="A25" s="214"/>
      <c r="B25" s="215" t="str">
        <f>IF(LEN(A25)=0,"",INDEX('Smelter Look-up'!$A:$A,MATCH($A25,'Smelter Look-up'!$E:$E,0)))</f>
        <v/>
      </c>
      <c r="C25" s="219" t="str">
        <f>IF(LEN(A25)=0,"",INDEX('Smelter Look-up'!$C:$C,MATCH($A25,'Smelter Look-up'!$E:$E,0)))</f>
        <v/>
      </c>
      <c r="D25" s="278"/>
      <c r="E25" s="215" t="str">
        <f ca="1">IF(ISERROR($V25),"",OFFSET('Smelter Look-up'!$D$4,$V25-4,0)&amp;"")</f>
        <v/>
      </c>
      <c r="F25" s="215" t="str">
        <f ca="1">IF(ISERROR($V25),"",OFFSET('Smelter Look-up'!$E$4,$V25-4,0))</f>
        <v/>
      </c>
      <c r="G25" s="215" t="str">
        <f ca="1">IF(C25=$X$4,"Enter smelter details",IF(ISERROR($V25),"",OFFSET('Smelter Look-up'!$F$4,$V25-4,0)))</f>
        <v/>
      </c>
      <c r="H25" s="216" t="str">
        <f ca="1">IF(ISERROR($V25),"",OFFSET('Smelter Look-up'!$G$4,$V25-4,0))</f>
        <v/>
      </c>
      <c r="I25" s="217" t="str">
        <f ca="1">IF(ISERROR($V25),"",OFFSET('Smelter Look-up'!$H$4,$V25-4,0))</f>
        <v/>
      </c>
      <c r="J25" s="217" t="str">
        <f ca="1">IF(ISERROR($V25),"",OFFSET('Smelter Look-up'!$I$4,$V25-4,0))</f>
        <v/>
      </c>
      <c r="K25" s="268"/>
      <c r="L25" s="268"/>
      <c r="M25" s="268"/>
      <c r="N25" s="268"/>
      <c r="O25" s="268"/>
      <c r="P25" s="218"/>
      <c r="Q25" s="269"/>
      <c r="R25" s="215" t="str">
        <f ca="1">IF(ISERROR($V25),"",OFFSET('Smelter Look-up'!$C$4,$V25-4,0)&amp;"")</f>
        <v/>
      </c>
      <c r="S25" s="222" t="str">
        <f t="shared" ca="1" si="3"/>
        <v/>
      </c>
      <c r="T25" s="222" t="str">
        <f ca="1">IF(B25="","",IF(ISERROR(MATCH($J25,SorP!$B$1:$B$6230,0)),"",INDIRECT("'SorP'!$A$"&amp;MATCH($J25,SorP!$B$1:$B$6230,0))))</f>
        <v/>
      </c>
      <c r="U25" s="238"/>
      <c r="V25" s="270" t="e">
        <f>IF(C25="",NA(),MATCH($B25&amp;$C25,'Smelter Look-up'!$J:$J,0))</f>
        <v>#N/A</v>
      </c>
      <c r="W25" s="271"/>
      <c r="X25" s="271">
        <f t="shared" ca="1" si="4"/>
        <v>0</v>
      </c>
      <c r="Y25" s="271"/>
      <c r="Z25" s="271"/>
      <c r="AB25" s="273" t="str">
        <f t="shared" si="5"/>
        <v/>
      </c>
    </row>
    <row r="26" spans="1:28" s="272" customFormat="1" ht="20.399999999999999">
      <c r="A26" s="214"/>
      <c r="B26" s="215" t="str">
        <f>IF(LEN(A26)=0,"",INDEX('Smelter Look-up'!$A:$A,MATCH($A26,'Smelter Look-up'!$E:$E,0)))</f>
        <v/>
      </c>
      <c r="C26" s="219" t="str">
        <f>IF(LEN(A26)=0,"",INDEX('Smelter Look-up'!$C:$C,MATCH($A26,'Smelter Look-up'!$E:$E,0)))</f>
        <v/>
      </c>
      <c r="D26" s="278"/>
      <c r="E26" s="215" t="str">
        <f ca="1">IF(ISERROR($V26),"",OFFSET('Smelter Look-up'!$D$4,$V26-4,0)&amp;"")</f>
        <v/>
      </c>
      <c r="F26" s="215" t="str">
        <f ca="1">IF(ISERROR($V26),"",OFFSET('Smelter Look-up'!$E$4,$V26-4,0))</f>
        <v/>
      </c>
      <c r="G26" s="215" t="str">
        <f ca="1">IF(C26=$X$4,"Enter smelter details",IF(ISERROR($V26),"",OFFSET('Smelter Look-up'!$F$4,$V26-4,0)))</f>
        <v/>
      </c>
      <c r="H26" s="216" t="str">
        <f ca="1">IF(ISERROR($V26),"",OFFSET('Smelter Look-up'!$G$4,$V26-4,0))</f>
        <v/>
      </c>
      <c r="I26" s="217" t="str">
        <f ca="1">IF(ISERROR($V26),"",OFFSET('Smelter Look-up'!$H$4,$V26-4,0))</f>
        <v/>
      </c>
      <c r="J26" s="217" t="str">
        <f ca="1">IF(ISERROR($V26),"",OFFSET('Smelter Look-up'!$I$4,$V26-4,0))</f>
        <v/>
      </c>
      <c r="K26" s="268"/>
      <c r="L26" s="268"/>
      <c r="M26" s="268"/>
      <c r="N26" s="268"/>
      <c r="O26" s="268"/>
      <c r="P26" s="218"/>
      <c r="Q26" s="269"/>
      <c r="R26" s="215" t="str">
        <f ca="1">IF(ISERROR($V26),"",OFFSET('Smelter Look-up'!$C$4,$V26-4,0)&amp;"")</f>
        <v/>
      </c>
      <c r="S26" s="222" t="str">
        <f t="shared" ca="1" si="3"/>
        <v/>
      </c>
      <c r="T26" s="222" t="str">
        <f ca="1">IF(B26="","",IF(ISERROR(MATCH($J26,SorP!$B$1:$B$6230,0)),"",INDIRECT("'SorP'!$A$"&amp;MATCH($J26,SorP!$B$1:$B$6230,0))))</f>
        <v/>
      </c>
      <c r="U26" s="238"/>
      <c r="V26" s="270" t="e">
        <f>IF(C26="",NA(),MATCH($B26&amp;$C26,'Smelter Look-up'!$J:$J,0))</f>
        <v>#N/A</v>
      </c>
      <c r="W26" s="271"/>
      <c r="X26" s="271">
        <f t="shared" ca="1" si="4"/>
        <v>0</v>
      </c>
      <c r="Y26" s="271"/>
      <c r="Z26" s="271"/>
      <c r="AB26" s="273" t="str">
        <f t="shared" si="5"/>
        <v/>
      </c>
    </row>
    <row r="27" spans="1:28" s="272" customFormat="1" ht="20.399999999999999">
      <c r="A27" s="214"/>
      <c r="B27" s="215" t="str">
        <f>IF(LEN(A27)=0,"",INDEX('Smelter Look-up'!$A:$A,MATCH($A27,'Smelter Look-up'!$E:$E,0)))</f>
        <v/>
      </c>
      <c r="C27" s="219" t="str">
        <f>IF(LEN(A27)=0,"",INDEX('Smelter Look-up'!$C:$C,MATCH($A27,'Smelter Look-up'!$E:$E,0)))</f>
        <v/>
      </c>
      <c r="D27" s="278"/>
      <c r="E27" s="215" t="str">
        <f ca="1">IF(ISERROR($V27),"",OFFSET('Smelter Look-up'!$D$4,$V27-4,0)&amp;"")</f>
        <v/>
      </c>
      <c r="F27" s="215" t="str">
        <f ca="1">IF(ISERROR($V27),"",OFFSET('Smelter Look-up'!$E$4,$V27-4,0))</f>
        <v/>
      </c>
      <c r="G27" s="215" t="str">
        <f ca="1">IF(C27=$X$4,"Enter smelter details",IF(ISERROR($V27),"",OFFSET('Smelter Look-up'!$F$4,$V27-4,0)))</f>
        <v/>
      </c>
      <c r="H27" s="216" t="str">
        <f ca="1">IF(ISERROR($V27),"",OFFSET('Smelter Look-up'!$G$4,$V27-4,0))</f>
        <v/>
      </c>
      <c r="I27" s="217" t="str">
        <f ca="1">IF(ISERROR($V27),"",OFFSET('Smelter Look-up'!$H$4,$V27-4,0))</f>
        <v/>
      </c>
      <c r="J27" s="217" t="str">
        <f ca="1">IF(ISERROR($V27),"",OFFSET('Smelter Look-up'!$I$4,$V27-4,0))</f>
        <v/>
      </c>
      <c r="K27" s="268"/>
      <c r="L27" s="268"/>
      <c r="M27" s="268"/>
      <c r="N27" s="268"/>
      <c r="O27" s="268"/>
      <c r="P27" s="218"/>
      <c r="Q27" s="269"/>
      <c r="R27" s="215" t="str">
        <f ca="1">IF(ISERROR($V27),"",OFFSET('Smelter Look-up'!$C$4,$V27-4,0)&amp;"")</f>
        <v/>
      </c>
      <c r="S27" s="222" t="str">
        <f t="shared" ca="1" si="3"/>
        <v/>
      </c>
      <c r="T27" s="222" t="str">
        <f ca="1">IF(B27="","",IF(ISERROR(MATCH($J27,SorP!$B$1:$B$6230,0)),"",INDIRECT("'SorP'!$A$"&amp;MATCH($J27,SorP!$B$1:$B$6230,0))))</f>
        <v/>
      </c>
      <c r="U27" s="238"/>
      <c r="V27" s="270" t="e">
        <f>IF(C27="",NA(),MATCH($B27&amp;$C27,'Smelter Look-up'!$J:$J,0))</f>
        <v>#N/A</v>
      </c>
      <c r="W27" s="271"/>
      <c r="X27" s="271">
        <f t="shared" ca="1" si="4"/>
        <v>0</v>
      </c>
      <c r="Y27" s="271"/>
      <c r="Z27" s="271"/>
      <c r="AB27" s="273" t="str">
        <f t="shared" si="5"/>
        <v/>
      </c>
    </row>
    <row r="28" spans="1:28" s="272" customFormat="1" ht="20.399999999999999">
      <c r="A28" s="214"/>
      <c r="B28" s="215" t="str">
        <f>IF(LEN(A28)=0,"",INDEX('Smelter Look-up'!$A:$A,MATCH($A28,'Smelter Look-up'!$E:$E,0)))</f>
        <v/>
      </c>
      <c r="C28" s="219" t="str">
        <f>IF(LEN(A28)=0,"",INDEX('Smelter Look-up'!$C:$C,MATCH($A28,'Smelter Look-up'!$E:$E,0)))</f>
        <v/>
      </c>
      <c r="D28" s="278"/>
      <c r="E28" s="215" t="str">
        <f ca="1">IF(ISERROR($V28),"",OFFSET('Smelter Look-up'!$D$4,$V28-4,0)&amp;"")</f>
        <v/>
      </c>
      <c r="F28" s="215" t="str">
        <f ca="1">IF(ISERROR($V28),"",OFFSET('Smelter Look-up'!$E$4,$V28-4,0))</f>
        <v/>
      </c>
      <c r="G28" s="215" t="str">
        <f ca="1">IF(C28=$X$4,"Enter smelter details",IF(ISERROR($V28),"",OFFSET('Smelter Look-up'!$F$4,$V28-4,0)))</f>
        <v/>
      </c>
      <c r="H28" s="216" t="str">
        <f ca="1">IF(ISERROR($V28),"",OFFSET('Smelter Look-up'!$G$4,$V28-4,0))</f>
        <v/>
      </c>
      <c r="I28" s="217" t="str">
        <f ca="1">IF(ISERROR($V28),"",OFFSET('Smelter Look-up'!$H$4,$V28-4,0))</f>
        <v/>
      </c>
      <c r="J28" s="217" t="str">
        <f ca="1">IF(ISERROR($V28),"",OFFSET('Smelter Look-up'!$I$4,$V28-4,0))</f>
        <v/>
      </c>
      <c r="K28" s="268"/>
      <c r="L28" s="268"/>
      <c r="M28" s="268"/>
      <c r="N28" s="268"/>
      <c r="O28" s="268"/>
      <c r="P28" s="218"/>
      <c r="Q28" s="269"/>
      <c r="R28" s="215" t="str">
        <f ca="1">IF(ISERROR($V28),"",OFFSET('Smelter Look-up'!$C$4,$V28-4,0)&amp;"")</f>
        <v/>
      </c>
      <c r="S28" s="222" t="str">
        <f t="shared" ca="1" si="3"/>
        <v/>
      </c>
      <c r="T28" s="222" t="str">
        <f ca="1">IF(B28="","",IF(ISERROR(MATCH($J28,SorP!$B$1:$B$6230,0)),"",INDIRECT("'SorP'!$A$"&amp;MATCH($J28,SorP!$B$1:$B$6230,0))))</f>
        <v/>
      </c>
      <c r="U28" s="238"/>
      <c r="V28" s="270" t="e">
        <f>IF(C28="",NA(),MATCH($B28&amp;$C28,'Smelter Look-up'!$J:$J,0))</f>
        <v>#N/A</v>
      </c>
      <c r="W28" s="271"/>
      <c r="X28" s="271">
        <f t="shared" ca="1" si="4"/>
        <v>0</v>
      </c>
      <c r="Y28" s="271"/>
      <c r="Z28" s="271"/>
      <c r="AB28" s="273" t="str">
        <f t="shared" si="5"/>
        <v/>
      </c>
    </row>
    <row r="29" spans="1:28" s="272" customFormat="1" ht="20.399999999999999">
      <c r="A29" s="214"/>
      <c r="B29" s="215" t="str">
        <f>IF(LEN(A29)=0,"",INDEX('Smelter Look-up'!$A:$A,MATCH($A29,'Smelter Look-up'!$E:$E,0)))</f>
        <v/>
      </c>
      <c r="C29" s="219" t="str">
        <f>IF(LEN(A29)=0,"",INDEX('Smelter Look-up'!$C:$C,MATCH($A29,'Smelter Look-up'!$E:$E,0)))</f>
        <v/>
      </c>
      <c r="D29" s="278"/>
      <c r="E29" s="215" t="str">
        <f ca="1">IF(ISERROR($V29),"",OFFSET('Smelter Look-up'!$D$4,$V29-4,0)&amp;"")</f>
        <v/>
      </c>
      <c r="F29" s="215" t="str">
        <f ca="1">IF(ISERROR($V29),"",OFFSET('Smelter Look-up'!$E$4,$V29-4,0))</f>
        <v/>
      </c>
      <c r="G29" s="215" t="str">
        <f ca="1">IF(C29=$X$4,"Enter smelter details",IF(ISERROR($V29),"",OFFSET('Smelter Look-up'!$F$4,$V29-4,0)))</f>
        <v/>
      </c>
      <c r="H29" s="216" t="str">
        <f ca="1">IF(ISERROR($V29),"",OFFSET('Smelter Look-up'!$G$4,$V29-4,0))</f>
        <v/>
      </c>
      <c r="I29" s="217" t="str">
        <f ca="1">IF(ISERROR($V29),"",OFFSET('Smelter Look-up'!$H$4,$V29-4,0))</f>
        <v/>
      </c>
      <c r="J29" s="217" t="str">
        <f ca="1">IF(ISERROR($V29),"",OFFSET('Smelter Look-up'!$I$4,$V29-4,0))</f>
        <v/>
      </c>
      <c r="K29" s="268"/>
      <c r="L29" s="268"/>
      <c r="M29" s="268"/>
      <c r="N29" s="268"/>
      <c r="O29" s="268"/>
      <c r="P29" s="218"/>
      <c r="Q29" s="269"/>
      <c r="R29" s="215" t="str">
        <f ca="1">IF(ISERROR($V29),"",OFFSET('Smelter Look-up'!$C$4,$V29-4,0)&amp;"")</f>
        <v/>
      </c>
      <c r="S29" s="222" t="str">
        <f t="shared" ca="1" si="3"/>
        <v/>
      </c>
      <c r="T29" s="222" t="str">
        <f ca="1">IF(B29="","",IF(ISERROR(MATCH($J29,SorP!$B$1:$B$6230,0)),"",INDIRECT("'SorP'!$A$"&amp;MATCH($J29,SorP!$B$1:$B$6230,0))))</f>
        <v/>
      </c>
      <c r="U29" s="238"/>
      <c r="V29" s="270" t="e">
        <f>IF(C29="",NA(),MATCH($B29&amp;$C29,'Smelter Look-up'!$J:$J,0))</f>
        <v>#N/A</v>
      </c>
      <c r="W29" s="271"/>
      <c r="X29" s="271">
        <f t="shared" ca="1" si="4"/>
        <v>0</v>
      </c>
      <c r="Y29" s="271"/>
      <c r="Z29" s="271"/>
      <c r="AB29" s="273" t="str">
        <f t="shared" si="5"/>
        <v/>
      </c>
    </row>
    <row r="30" spans="1:28" s="272" customFormat="1" ht="20.399999999999999">
      <c r="A30" s="214"/>
      <c r="B30" s="215" t="str">
        <f>IF(LEN(A30)=0,"",INDEX('Smelter Look-up'!$A:$A,MATCH($A30,'Smelter Look-up'!$E:$E,0)))</f>
        <v/>
      </c>
      <c r="C30" s="219" t="str">
        <f>IF(LEN(A30)=0,"",INDEX('Smelter Look-up'!$C:$C,MATCH($A30,'Smelter Look-up'!$E:$E,0)))</f>
        <v/>
      </c>
      <c r="D30" s="278"/>
      <c r="E30" s="215" t="str">
        <f ca="1">IF(ISERROR($V30),"",OFFSET('Smelter Look-up'!$D$4,$V30-4,0)&amp;"")</f>
        <v/>
      </c>
      <c r="F30" s="215" t="str">
        <f ca="1">IF(ISERROR($V30),"",OFFSET('Smelter Look-up'!$E$4,$V30-4,0))</f>
        <v/>
      </c>
      <c r="G30" s="215" t="str">
        <f ca="1">IF(C30=$X$4,"Enter smelter details",IF(ISERROR($V30),"",OFFSET('Smelter Look-up'!$F$4,$V30-4,0)))</f>
        <v/>
      </c>
      <c r="H30" s="216" t="str">
        <f ca="1">IF(ISERROR($V30),"",OFFSET('Smelter Look-up'!$G$4,$V30-4,0))</f>
        <v/>
      </c>
      <c r="I30" s="217" t="str">
        <f ca="1">IF(ISERROR($V30),"",OFFSET('Smelter Look-up'!$H$4,$V30-4,0))</f>
        <v/>
      </c>
      <c r="J30" s="217" t="str">
        <f ca="1">IF(ISERROR($V30),"",OFFSET('Smelter Look-up'!$I$4,$V30-4,0))</f>
        <v/>
      </c>
      <c r="K30" s="268"/>
      <c r="L30" s="268"/>
      <c r="M30" s="268"/>
      <c r="N30" s="268"/>
      <c r="O30" s="268"/>
      <c r="P30" s="218"/>
      <c r="Q30" s="269"/>
      <c r="R30" s="215" t="str">
        <f ca="1">IF(ISERROR($V30),"",OFFSET('Smelter Look-up'!$C$4,$V30-4,0)&amp;"")</f>
        <v/>
      </c>
      <c r="S30" s="222" t="str">
        <f t="shared" ca="1" si="3"/>
        <v/>
      </c>
      <c r="T30" s="222" t="str">
        <f ca="1">IF(B30="","",IF(ISERROR(MATCH($J30,SorP!$B$1:$B$6230,0)),"",INDIRECT("'SorP'!$A$"&amp;MATCH($J30,SorP!$B$1:$B$6230,0))))</f>
        <v/>
      </c>
      <c r="U30" s="238"/>
      <c r="V30" s="270" t="e">
        <f>IF(C30="",NA(),MATCH($B30&amp;$C30,'Smelter Look-up'!$J:$J,0))</f>
        <v>#N/A</v>
      </c>
      <c r="W30" s="271"/>
      <c r="X30" s="271">
        <f t="shared" ca="1" si="4"/>
        <v>0</v>
      </c>
      <c r="Y30" s="271"/>
      <c r="Z30" s="271"/>
      <c r="AB30" s="273" t="str">
        <f t="shared" si="5"/>
        <v/>
      </c>
    </row>
    <row r="31" spans="1:28" s="272" customFormat="1" ht="20.399999999999999">
      <c r="A31" s="214"/>
      <c r="B31" s="215" t="str">
        <f>IF(LEN(A31)=0,"",INDEX('Smelter Look-up'!$A:$A,MATCH($A31,'Smelter Look-up'!$E:$E,0)))</f>
        <v/>
      </c>
      <c r="C31" s="219" t="str">
        <f>IF(LEN(A31)=0,"",INDEX('Smelter Look-up'!$C:$C,MATCH($A31,'Smelter Look-up'!$E:$E,0)))</f>
        <v/>
      </c>
      <c r="D31" s="278"/>
      <c r="E31" s="215" t="str">
        <f ca="1">IF(ISERROR($V31),"",OFFSET('Smelter Look-up'!$D$4,$V31-4,0)&amp;"")</f>
        <v/>
      </c>
      <c r="F31" s="215" t="str">
        <f ca="1">IF(ISERROR($V31),"",OFFSET('Smelter Look-up'!$E$4,$V31-4,0))</f>
        <v/>
      </c>
      <c r="G31" s="215" t="str">
        <f ca="1">IF(C31=$X$4,"Enter smelter details",IF(ISERROR($V31),"",OFFSET('Smelter Look-up'!$F$4,$V31-4,0)))</f>
        <v/>
      </c>
      <c r="H31" s="216" t="str">
        <f ca="1">IF(ISERROR($V31),"",OFFSET('Smelter Look-up'!$G$4,$V31-4,0))</f>
        <v/>
      </c>
      <c r="I31" s="217" t="str">
        <f ca="1">IF(ISERROR($V31),"",OFFSET('Smelter Look-up'!$H$4,$V31-4,0))</f>
        <v/>
      </c>
      <c r="J31" s="217" t="str">
        <f ca="1">IF(ISERROR($V31),"",OFFSET('Smelter Look-up'!$I$4,$V31-4,0))</f>
        <v/>
      </c>
      <c r="K31" s="268"/>
      <c r="L31" s="268"/>
      <c r="M31" s="268"/>
      <c r="N31" s="268"/>
      <c r="O31" s="268"/>
      <c r="P31" s="218"/>
      <c r="Q31" s="269"/>
      <c r="R31" s="215" t="str">
        <f ca="1">IF(ISERROR($V31),"",OFFSET('Smelter Look-up'!$C$4,$V31-4,0)&amp;"")</f>
        <v/>
      </c>
      <c r="S31" s="222" t="str">
        <f t="shared" ca="1" si="3"/>
        <v/>
      </c>
      <c r="T31" s="222" t="str">
        <f ca="1">IF(B31="","",IF(ISERROR(MATCH($J31,SorP!$B$1:$B$6230,0)),"",INDIRECT("'SorP'!$A$"&amp;MATCH($J31,SorP!$B$1:$B$6230,0))))</f>
        <v/>
      </c>
      <c r="U31" s="238"/>
      <c r="V31" s="270" t="e">
        <f>IF(C31="",NA(),MATCH($B31&amp;$C31,'Smelter Look-up'!$J:$J,0))</f>
        <v>#N/A</v>
      </c>
      <c r="W31" s="271"/>
      <c r="X31" s="271">
        <f t="shared" ca="1" si="4"/>
        <v>0</v>
      </c>
      <c r="Y31" s="271"/>
      <c r="Z31" s="271"/>
      <c r="AB31" s="273" t="str">
        <f t="shared" si="5"/>
        <v/>
      </c>
    </row>
    <row r="32" spans="1:28" s="272" customFormat="1" ht="20.399999999999999">
      <c r="A32" s="214"/>
      <c r="B32" s="215" t="str">
        <f>IF(LEN(A32)=0,"",INDEX('Smelter Look-up'!$A:$A,MATCH($A32,'Smelter Look-up'!$E:$E,0)))</f>
        <v/>
      </c>
      <c r="C32" s="219" t="str">
        <f>IF(LEN(A32)=0,"",INDEX('Smelter Look-up'!$C:$C,MATCH($A32,'Smelter Look-up'!$E:$E,0)))</f>
        <v/>
      </c>
      <c r="D32" s="278"/>
      <c r="E32" s="215" t="str">
        <f ca="1">IF(ISERROR($V32),"",OFFSET('Smelter Look-up'!$D$4,$V32-4,0)&amp;"")</f>
        <v/>
      </c>
      <c r="F32" s="215" t="str">
        <f ca="1">IF(ISERROR($V32),"",OFFSET('Smelter Look-up'!$E$4,$V32-4,0))</f>
        <v/>
      </c>
      <c r="G32" s="215" t="str">
        <f ca="1">IF(C32=$X$4,"Enter smelter details",IF(ISERROR($V32),"",OFFSET('Smelter Look-up'!$F$4,$V32-4,0)))</f>
        <v/>
      </c>
      <c r="H32" s="216" t="str">
        <f ca="1">IF(ISERROR($V32),"",OFFSET('Smelter Look-up'!$G$4,$V32-4,0))</f>
        <v/>
      </c>
      <c r="I32" s="217" t="str">
        <f ca="1">IF(ISERROR($V32),"",OFFSET('Smelter Look-up'!$H$4,$V32-4,0))</f>
        <v/>
      </c>
      <c r="J32" s="217" t="str">
        <f ca="1">IF(ISERROR($V32),"",OFFSET('Smelter Look-up'!$I$4,$V32-4,0))</f>
        <v/>
      </c>
      <c r="K32" s="268"/>
      <c r="L32" s="268"/>
      <c r="M32" s="268"/>
      <c r="N32" s="268"/>
      <c r="O32" s="268"/>
      <c r="P32" s="218"/>
      <c r="Q32" s="269"/>
      <c r="R32" s="215" t="str">
        <f ca="1">IF(ISERROR($V32),"",OFFSET('Smelter Look-up'!$C$4,$V32-4,0)&amp;"")</f>
        <v/>
      </c>
      <c r="S32" s="222" t="str">
        <f t="shared" ca="1" si="3"/>
        <v/>
      </c>
      <c r="T32" s="222" t="str">
        <f ca="1">IF(B32="","",IF(ISERROR(MATCH($J32,SorP!$B$1:$B$6230,0)),"",INDIRECT("'SorP'!$A$"&amp;MATCH($J32,SorP!$B$1:$B$6230,0))))</f>
        <v/>
      </c>
      <c r="U32" s="238"/>
      <c r="V32" s="270" t="e">
        <f>IF(C32="",NA(),MATCH($B32&amp;$C32,'Smelter Look-up'!$J:$J,0))</f>
        <v>#N/A</v>
      </c>
      <c r="W32" s="271"/>
      <c r="X32" s="271">
        <f t="shared" ca="1" si="4"/>
        <v>0</v>
      </c>
      <c r="Y32" s="271"/>
      <c r="Z32" s="271"/>
      <c r="AB32" s="273" t="str">
        <f t="shared" si="5"/>
        <v/>
      </c>
    </row>
    <row r="33" spans="1:28" s="272" customFormat="1" ht="20.399999999999999">
      <c r="A33" s="214"/>
      <c r="B33" s="215" t="str">
        <f>IF(LEN(A33)=0,"",INDEX('Smelter Look-up'!$A:$A,MATCH($A33,'Smelter Look-up'!$E:$E,0)))</f>
        <v/>
      </c>
      <c r="C33" s="219" t="str">
        <f>IF(LEN(A33)=0,"",INDEX('Smelter Look-up'!$C:$C,MATCH($A33,'Smelter Look-up'!$E:$E,0)))</f>
        <v/>
      </c>
      <c r="D33" s="278"/>
      <c r="E33" s="215" t="str">
        <f ca="1">IF(ISERROR($V33),"",OFFSET('Smelter Look-up'!$D$4,$V33-4,0)&amp;"")</f>
        <v/>
      </c>
      <c r="F33" s="215" t="str">
        <f ca="1">IF(ISERROR($V33),"",OFFSET('Smelter Look-up'!$E$4,$V33-4,0))</f>
        <v/>
      </c>
      <c r="G33" s="215" t="str">
        <f ca="1">IF(C33=$X$4,"Enter smelter details",IF(ISERROR($V33),"",OFFSET('Smelter Look-up'!$F$4,$V33-4,0)))</f>
        <v/>
      </c>
      <c r="H33" s="216" t="str">
        <f ca="1">IF(ISERROR($V33),"",OFFSET('Smelter Look-up'!$G$4,$V33-4,0))</f>
        <v/>
      </c>
      <c r="I33" s="217" t="str">
        <f ca="1">IF(ISERROR($V33),"",OFFSET('Smelter Look-up'!$H$4,$V33-4,0))</f>
        <v/>
      </c>
      <c r="J33" s="217" t="str">
        <f ca="1">IF(ISERROR($V33),"",OFFSET('Smelter Look-up'!$I$4,$V33-4,0))</f>
        <v/>
      </c>
      <c r="K33" s="268"/>
      <c r="L33" s="268"/>
      <c r="M33" s="268"/>
      <c r="N33" s="268"/>
      <c r="O33" s="268"/>
      <c r="P33" s="218"/>
      <c r="Q33" s="269"/>
      <c r="R33" s="215" t="str">
        <f ca="1">IF(ISERROR($V33),"",OFFSET('Smelter Look-up'!$C$4,$V33-4,0)&amp;"")</f>
        <v/>
      </c>
      <c r="S33" s="222" t="str">
        <f t="shared" ca="1" si="3"/>
        <v/>
      </c>
      <c r="T33" s="222" t="str">
        <f ca="1">IF(B33="","",IF(ISERROR(MATCH($J33,SorP!$B$1:$B$6230,0)),"",INDIRECT("'SorP'!$A$"&amp;MATCH($J33,SorP!$B$1:$B$6230,0))))</f>
        <v/>
      </c>
      <c r="U33" s="238"/>
      <c r="V33" s="270" t="e">
        <f>IF(C33="",NA(),MATCH($B33&amp;$C33,'Smelter Look-up'!$J:$J,0))</f>
        <v>#N/A</v>
      </c>
      <c r="W33" s="271"/>
      <c r="X33" s="271">
        <f t="shared" ca="1" si="4"/>
        <v>0</v>
      </c>
      <c r="Y33" s="271"/>
      <c r="Z33" s="271"/>
      <c r="AB33" s="273" t="str">
        <f t="shared" si="5"/>
        <v/>
      </c>
    </row>
    <row r="34" spans="1:28" s="272" customFormat="1" ht="20.399999999999999">
      <c r="A34" s="214"/>
      <c r="B34" s="215" t="str">
        <f>IF(LEN(A34)=0,"",INDEX('Smelter Look-up'!$A:$A,MATCH($A34,'Smelter Look-up'!$E:$E,0)))</f>
        <v/>
      </c>
      <c r="C34" s="219" t="str">
        <f>IF(LEN(A34)=0,"",INDEX('Smelter Look-up'!$C:$C,MATCH($A34,'Smelter Look-up'!$E:$E,0)))</f>
        <v/>
      </c>
      <c r="D34" s="278"/>
      <c r="E34" s="215" t="str">
        <f ca="1">IF(ISERROR($V34),"",OFFSET('Smelter Look-up'!$D$4,$V34-4,0)&amp;"")</f>
        <v/>
      </c>
      <c r="F34" s="215" t="str">
        <f ca="1">IF(ISERROR($V34),"",OFFSET('Smelter Look-up'!$E$4,$V34-4,0))</f>
        <v/>
      </c>
      <c r="G34" s="215" t="str">
        <f ca="1">IF(C34=$X$4,"Enter smelter details",IF(ISERROR($V34),"",OFFSET('Smelter Look-up'!$F$4,$V34-4,0)))</f>
        <v/>
      </c>
      <c r="H34" s="216" t="str">
        <f ca="1">IF(ISERROR($V34),"",OFFSET('Smelter Look-up'!$G$4,$V34-4,0))</f>
        <v/>
      </c>
      <c r="I34" s="217" t="str">
        <f ca="1">IF(ISERROR($V34),"",OFFSET('Smelter Look-up'!$H$4,$V34-4,0))</f>
        <v/>
      </c>
      <c r="J34" s="217" t="str">
        <f ca="1">IF(ISERROR($V34),"",OFFSET('Smelter Look-up'!$I$4,$V34-4,0))</f>
        <v/>
      </c>
      <c r="K34" s="268"/>
      <c r="L34" s="268"/>
      <c r="M34" s="268"/>
      <c r="N34" s="268"/>
      <c r="O34" s="268"/>
      <c r="P34" s="218"/>
      <c r="Q34" s="269"/>
      <c r="R34" s="215" t="str">
        <f ca="1">IF(ISERROR($V34),"",OFFSET('Smelter Look-up'!$C$4,$V34-4,0)&amp;"")</f>
        <v/>
      </c>
      <c r="S34" s="222" t="str">
        <f t="shared" ca="1" si="3"/>
        <v/>
      </c>
      <c r="T34" s="222" t="str">
        <f ca="1">IF(B34="","",IF(ISERROR(MATCH($J34,SorP!$B$1:$B$6230,0)),"",INDIRECT("'SorP'!$A$"&amp;MATCH($J34,SorP!$B$1:$B$6230,0))))</f>
        <v/>
      </c>
      <c r="U34" s="238"/>
      <c r="V34" s="270" t="e">
        <f>IF(C34="",NA(),MATCH($B34&amp;$C34,'Smelter Look-up'!$J:$J,0))</f>
        <v>#N/A</v>
      </c>
      <c r="W34" s="271"/>
      <c r="X34" s="271">
        <f t="shared" ca="1" si="4"/>
        <v>0</v>
      </c>
      <c r="Y34" s="271"/>
      <c r="Z34" s="271"/>
      <c r="AB34" s="273" t="str">
        <f t="shared" si="5"/>
        <v/>
      </c>
    </row>
    <row r="35" spans="1:28" s="272" customFormat="1" ht="20.399999999999999">
      <c r="A35" s="214"/>
      <c r="B35" s="215" t="str">
        <f>IF(LEN(A35)=0,"",INDEX('Smelter Look-up'!$A:$A,MATCH($A35,'Smelter Look-up'!$E:$E,0)))</f>
        <v/>
      </c>
      <c r="C35" s="219" t="str">
        <f>IF(LEN(A35)=0,"",INDEX('Smelter Look-up'!$C:$C,MATCH($A35,'Smelter Look-up'!$E:$E,0)))</f>
        <v/>
      </c>
      <c r="D35" s="278"/>
      <c r="E35" s="215" t="str">
        <f ca="1">IF(ISERROR($V35),"",OFFSET('Smelter Look-up'!$D$4,$V35-4,0)&amp;"")</f>
        <v/>
      </c>
      <c r="F35" s="215" t="str">
        <f ca="1">IF(ISERROR($V35),"",OFFSET('Smelter Look-up'!$E$4,$V35-4,0))</f>
        <v/>
      </c>
      <c r="G35" s="215" t="str">
        <f ca="1">IF(C35=$X$4,"Enter smelter details",IF(ISERROR($V35),"",OFFSET('Smelter Look-up'!$F$4,$V35-4,0)))</f>
        <v/>
      </c>
      <c r="H35" s="216" t="str">
        <f ca="1">IF(ISERROR($V35),"",OFFSET('Smelter Look-up'!$G$4,$V35-4,0))</f>
        <v/>
      </c>
      <c r="I35" s="217" t="str">
        <f ca="1">IF(ISERROR($V35),"",OFFSET('Smelter Look-up'!$H$4,$V35-4,0))</f>
        <v/>
      </c>
      <c r="J35" s="217" t="str">
        <f ca="1">IF(ISERROR($V35),"",OFFSET('Smelter Look-up'!$I$4,$V35-4,0))</f>
        <v/>
      </c>
      <c r="K35" s="268"/>
      <c r="L35" s="268"/>
      <c r="M35" s="268"/>
      <c r="N35" s="268"/>
      <c r="O35" s="268"/>
      <c r="P35" s="218"/>
      <c r="Q35" s="269"/>
      <c r="R35" s="215" t="str">
        <f ca="1">IF(ISERROR($V35),"",OFFSET('Smelter Look-up'!$C$4,$V35-4,0)&amp;"")</f>
        <v/>
      </c>
      <c r="S35" s="222" t="str">
        <f t="shared" ca="1" si="3"/>
        <v/>
      </c>
      <c r="T35" s="222" t="str">
        <f ca="1">IF(B35="","",IF(ISERROR(MATCH($J35,SorP!$B$1:$B$6230,0)),"",INDIRECT("'SorP'!$A$"&amp;MATCH($J35,SorP!$B$1:$B$6230,0))))</f>
        <v/>
      </c>
      <c r="U35" s="238"/>
      <c r="V35" s="270" t="e">
        <f>IF(C35="",NA(),MATCH($B35&amp;$C35,'Smelter Look-up'!$J:$J,0))</f>
        <v>#N/A</v>
      </c>
      <c r="W35" s="271"/>
      <c r="X35" s="271">
        <f t="shared" ca="1" si="4"/>
        <v>0</v>
      </c>
      <c r="Y35" s="271"/>
      <c r="Z35" s="271"/>
      <c r="AB35" s="273" t="str">
        <f t="shared" si="5"/>
        <v/>
      </c>
    </row>
    <row r="36" spans="1:28" s="272" customFormat="1" ht="20.399999999999999">
      <c r="A36" s="214"/>
      <c r="B36" s="215" t="str">
        <f>IF(LEN(A36)=0,"",INDEX('Smelter Look-up'!$A:$A,MATCH($A36,'Smelter Look-up'!$E:$E,0)))</f>
        <v/>
      </c>
      <c r="C36" s="219" t="str">
        <f>IF(LEN(A36)=0,"",INDEX('Smelter Look-up'!$C:$C,MATCH($A36,'Smelter Look-up'!$E:$E,0)))</f>
        <v/>
      </c>
      <c r="D36" s="278"/>
      <c r="E36" s="215" t="str">
        <f ca="1">IF(ISERROR($V36),"",OFFSET('Smelter Look-up'!$D$4,$V36-4,0)&amp;"")</f>
        <v/>
      </c>
      <c r="F36" s="215" t="str">
        <f ca="1">IF(ISERROR($V36),"",OFFSET('Smelter Look-up'!$E$4,$V36-4,0))</f>
        <v/>
      </c>
      <c r="G36" s="215" t="str">
        <f ca="1">IF(C36=$X$4,"Enter smelter details",IF(ISERROR($V36),"",OFFSET('Smelter Look-up'!$F$4,$V36-4,0)))</f>
        <v/>
      </c>
      <c r="H36" s="216" t="str">
        <f ca="1">IF(ISERROR($V36),"",OFFSET('Smelter Look-up'!$G$4,$V36-4,0))</f>
        <v/>
      </c>
      <c r="I36" s="217" t="str">
        <f ca="1">IF(ISERROR($V36),"",OFFSET('Smelter Look-up'!$H$4,$V36-4,0))</f>
        <v/>
      </c>
      <c r="J36" s="217" t="str">
        <f ca="1">IF(ISERROR($V36),"",OFFSET('Smelter Look-up'!$I$4,$V36-4,0))</f>
        <v/>
      </c>
      <c r="K36" s="268"/>
      <c r="L36" s="268"/>
      <c r="M36" s="268"/>
      <c r="N36" s="268"/>
      <c r="O36" s="268"/>
      <c r="P36" s="218"/>
      <c r="Q36" s="269"/>
      <c r="R36" s="215" t="str">
        <f ca="1">IF(ISERROR($V36),"",OFFSET('Smelter Look-up'!$C$4,$V36-4,0)&amp;"")</f>
        <v/>
      </c>
      <c r="S36" s="222" t="str">
        <f t="shared" ca="1" si="3"/>
        <v/>
      </c>
      <c r="T36" s="222" t="str">
        <f ca="1">IF(B36="","",IF(ISERROR(MATCH($J36,SorP!$B$1:$B$6230,0)),"",INDIRECT("'SorP'!$A$"&amp;MATCH($J36,SorP!$B$1:$B$6230,0))))</f>
        <v/>
      </c>
      <c r="U36" s="238"/>
      <c r="V36" s="270" t="e">
        <f>IF(C36="",NA(),MATCH($B36&amp;$C36,'Smelter Look-up'!$J:$J,0))</f>
        <v>#N/A</v>
      </c>
      <c r="W36" s="271"/>
      <c r="X36" s="271">
        <f t="shared" ca="1" si="4"/>
        <v>0</v>
      </c>
      <c r="Y36" s="271"/>
      <c r="Z36" s="271"/>
      <c r="AB36" s="273" t="str">
        <f t="shared" si="5"/>
        <v/>
      </c>
    </row>
    <row r="37" spans="1:28" s="272" customFormat="1" ht="20.399999999999999">
      <c r="A37" s="214"/>
      <c r="B37" s="215" t="str">
        <f>IF(LEN(A37)=0,"",INDEX('Smelter Look-up'!$A:$A,MATCH($A37,'Smelter Look-up'!$E:$E,0)))</f>
        <v/>
      </c>
      <c r="C37" s="219" t="str">
        <f>IF(LEN(A37)=0,"",INDEX('Smelter Look-up'!$C:$C,MATCH($A37,'Smelter Look-up'!$E:$E,0)))</f>
        <v/>
      </c>
      <c r="D37" s="278"/>
      <c r="E37" s="215" t="str">
        <f ca="1">IF(ISERROR($V37),"",OFFSET('Smelter Look-up'!$D$4,$V37-4,0)&amp;"")</f>
        <v/>
      </c>
      <c r="F37" s="215" t="str">
        <f ca="1">IF(ISERROR($V37),"",OFFSET('Smelter Look-up'!$E$4,$V37-4,0))</f>
        <v/>
      </c>
      <c r="G37" s="215" t="str">
        <f ca="1">IF(C37=$X$4,"Enter smelter details",IF(ISERROR($V37),"",OFFSET('Smelter Look-up'!$F$4,$V37-4,0)))</f>
        <v/>
      </c>
      <c r="H37" s="216" t="str">
        <f ca="1">IF(ISERROR($V37),"",OFFSET('Smelter Look-up'!$G$4,$V37-4,0))</f>
        <v/>
      </c>
      <c r="I37" s="217" t="str">
        <f ca="1">IF(ISERROR($V37),"",OFFSET('Smelter Look-up'!$H$4,$V37-4,0))</f>
        <v/>
      </c>
      <c r="J37" s="217" t="str">
        <f ca="1">IF(ISERROR($V37),"",OFFSET('Smelter Look-up'!$I$4,$V37-4,0))</f>
        <v/>
      </c>
      <c r="K37" s="268"/>
      <c r="L37" s="268"/>
      <c r="M37" s="268"/>
      <c r="N37" s="268"/>
      <c r="O37" s="268"/>
      <c r="P37" s="218"/>
      <c r="Q37" s="269"/>
      <c r="R37" s="215" t="str">
        <f ca="1">IF(ISERROR($V37),"",OFFSET('Smelter Look-up'!$C$4,$V37-4,0)&amp;"")</f>
        <v/>
      </c>
      <c r="S37" s="222" t="str">
        <f t="shared" ca="1" si="3"/>
        <v/>
      </c>
      <c r="T37" s="222" t="str">
        <f ca="1">IF(B37="","",IF(ISERROR(MATCH($J37,SorP!$B$1:$B$6230,0)),"",INDIRECT("'SorP'!$A$"&amp;MATCH($J37,SorP!$B$1:$B$6230,0))))</f>
        <v/>
      </c>
      <c r="U37" s="238"/>
      <c r="V37" s="270" t="e">
        <f>IF(C37="",NA(),MATCH($B37&amp;$C37,'Smelter Look-up'!$J:$J,0))</f>
        <v>#N/A</v>
      </c>
      <c r="W37" s="271"/>
      <c r="X37" s="271">
        <f t="shared" ca="1" si="4"/>
        <v>0</v>
      </c>
      <c r="Y37" s="271"/>
      <c r="Z37" s="271"/>
      <c r="AB37" s="273" t="str">
        <f t="shared" si="5"/>
        <v/>
      </c>
    </row>
    <row r="38" spans="1:28" s="272" customFormat="1" ht="20.399999999999999">
      <c r="A38" s="214"/>
      <c r="B38" s="215" t="str">
        <f>IF(LEN(A38)=0,"",INDEX('Smelter Look-up'!$A:$A,MATCH($A38,'Smelter Look-up'!$E:$E,0)))</f>
        <v/>
      </c>
      <c r="C38" s="219" t="str">
        <f>IF(LEN(A38)=0,"",INDEX('Smelter Look-up'!$C:$C,MATCH($A38,'Smelter Look-up'!$E:$E,0)))</f>
        <v/>
      </c>
      <c r="D38" s="278"/>
      <c r="E38" s="215" t="str">
        <f ca="1">IF(ISERROR($V38),"",OFFSET('Smelter Look-up'!$D$4,$V38-4,0)&amp;"")</f>
        <v/>
      </c>
      <c r="F38" s="215" t="str">
        <f ca="1">IF(ISERROR($V38),"",OFFSET('Smelter Look-up'!$E$4,$V38-4,0))</f>
        <v/>
      </c>
      <c r="G38" s="215" t="str">
        <f ca="1">IF(C38=$X$4,"Enter smelter details",IF(ISERROR($V38),"",OFFSET('Smelter Look-up'!$F$4,$V38-4,0)))</f>
        <v/>
      </c>
      <c r="H38" s="216" t="str">
        <f ca="1">IF(ISERROR($V38),"",OFFSET('Smelter Look-up'!$G$4,$V38-4,0))</f>
        <v/>
      </c>
      <c r="I38" s="217" t="str">
        <f ca="1">IF(ISERROR($V38),"",OFFSET('Smelter Look-up'!$H$4,$V38-4,0))</f>
        <v/>
      </c>
      <c r="J38" s="217" t="str">
        <f ca="1">IF(ISERROR($V38),"",OFFSET('Smelter Look-up'!$I$4,$V38-4,0))</f>
        <v/>
      </c>
      <c r="K38" s="268"/>
      <c r="L38" s="268"/>
      <c r="M38" s="268"/>
      <c r="N38" s="268"/>
      <c r="O38" s="268"/>
      <c r="P38" s="218"/>
      <c r="Q38" s="269"/>
      <c r="R38" s="215" t="str">
        <f ca="1">IF(ISERROR($V38),"",OFFSET('Smelter Look-up'!$C$4,$V38-4,0)&amp;"")</f>
        <v/>
      </c>
      <c r="S38" s="222" t="str">
        <f t="shared" ref="S38:S68" ca="1" si="6">IF(B38="","",IF(ISERROR(MATCH($E38,CL,0)),"Unknown",INDIRECT("'C'!$A$"&amp;MATCH($E38,CL,0)+1)))</f>
        <v/>
      </c>
      <c r="T38" s="222" t="str">
        <f ca="1">IF(B38="","",IF(ISERROR(MATCH($J38,SorP!$B$1:$B$6230,0)),"",INDIRECT("'SorP'!$A$"&amp;MATCH($J38,SorP!$B$1:$B$6230,0))))</f>
        <v/>
      </c>
      <c r="U38" s="238"/>
      <c r="V38" s="270" t="e">
        <f>IF(C38="",NA(),MATCH($B38&amp;$C38,'Smelter Look-up'!$J:$J,0))</f>
        <v>#N/A</v>
      </c>
      <c r="W38" s="271"/>
      <c r="X38" s="271">
        <f t="shared" ref="X38:X68" ca="1" si="7">IF(AND(C38="Smelter not listed",OR(LEN(D38)=0,LEN(E38)=0)),1,0)</f>
        <v>0</v>
      </c>
      <c r="Y38" s="271"/>
      <c r="Z38" s="271"/>
      <c r="AB38" s="273" t="str">
        <f t="shared" ref="AB38:AB68" si="8">B38&amp;C38</f>
        <v/>
      </c>
    </row>
    <row r="39" spans="1:28" s="272" customFormat="1" ht="20.399999999999999">
      <c r="A39" s="214"/>
      <c r="B39" s="215" t="str">
        <f>IF(LEN(A39)=0,"",INDEX('Smelter Look-up'!$A:$A,MATCH($A39,'Smelter Look-up'!$E:$E,0)))</f>
        <v/>
      </c>
      <c r="C39" s="219" t="str">
        <f>IF(LEN(A39)=0,"",INDEX('Smelter Look-up'!$C:$C,MATCH($A39,'Smelter Look-up'!$E:$E,0)))</f>
        <v/>
      </c>
      <c r="D39" s="278"/>
      <c r="E39" s="215" t="str">
        <f ca="1">IF(ISERROR($V39),"",OFFSET('Smelter Look-up'!$D$4,$V39-4,0)&amp;"")</f>
        <v/>
      </c>
      <c r="F39" s="215" t="str">
        <f ca="1">IF(ISERROR($V39),"",OFFSET('Smelter Look-up'!$E$4,$V39-4,0))</f>
        <v/>
      </c>
      <c r="G39" s="215" t="str">
        <f ca="1">IF(C39=$X$4,"Enter smelter details",IF(ISERROR($V39),"",OFFSET('Smelter Look-up'!$F$4,$V39-4,0)))</f>
        <v/>
      </c>
      <c r="H39" s="216" t="str">
        <f ca="1">IF(ISERROR($V39),"",OFFSET('Smelter Look-up'!$G$4,$V39-4,0))</f>
        <v/>
      </c>
      <c r="I39" s="217" t="str">
        <f ca="1">IF(ISERROR($V39),"",OFFSET('Smelter Look-up'!$H$4,$V39-4,0))</f>
        <v/>
      </c>
      <c r="J39" s="217" t="str">
        <f ca="1">IF(ISERROR($V39),"",OFFSET('Smelter Look-up'!$I$4,$V39-4,0))</f>
        <v/>
      </c>
      <c r="K39" s="268"/>
      <c r="L39" s="268"/>
      <c r="M39" s="268"/>
      <c r="N39" s="268"/>
      <c r="O39" s="268"/>
      <c r="P39" s="218"/>
      <c r="Q39" s="269"/>
      <c r="R39" s="215" t="str">
        <f ca="1">IF(ISERROR($V39),"",OFFSET('Smelter Look-up'!$C$4,$V39-4,0)&amp;"")</f>
        <v/>
      </c>
      <c r="S39" s="222" t="str">
        <f t="shared" ca="1" si="6"/>
        <v/>
      </c>
      <c r="T39" s="222" t="str">
        <f ca="1">IF(B39="","",IF(ISERROR(MATCH($J39,SorP!$B$1:$B$6230,0)),"",INDIRECT("'SorP'!$A$"&amp;MATCH($J39,SorP!$B$1:$B$6230,0))))</f>
        <v/>
      </c>
      <c r="U39" s="238"/>
      <c r="V39" s="270" t="e">
        <f>IF(C39="",NA(),MATCH($B39&amp;$C39,'Smelter Look-up'!$J:$J,0))</f>
        <v>#N/A</v>
      </c>
      <c r="W39" s="271"/>
      <c r="X39" s="271">
        <f t="shared" ca="1" si="7"/>
        <v>0</v>
      </c>
      <c r="Y39" s="271"/>
      <c r="Z39" s="271"/>
      <c r="AB39" s="273" t="str">
        <f t="shared" si="8"/>
        <v/>
      </c>
    </row>
    <row r="40" spans="1:28" s="272" customFormat="1" ht="20.399999999999999">
      <c r="A40" s="214"/>
      <c r="B40" s="215" t="str">
        <f>IF(LEN(A40)=0,"",INDEX('Smelter Look-up'!$A:$A,MATCH($A40,'Smelter Look-up'!$E:$E,0)))</f>
        <v/>
      </c>
      <c r="C40" s="219" t="str">
        <f>IF(LEN(A40)=0,"",INDEX('Smelter Look-up'!$C:$C,MATCH($A40,'Smelter Look-up'!$E:$E,0)))</f>
        <v/>
      </c>
      <c r="D40" s="278"/>
      <c r="E40" s="215" t="str">
        <f ca="1">IF(ISERROR($V40),"",OFFSET('Smelter Look-up'!$D$4,$V40-4,0)&amp;"")</f>
        <v/>
      </c>
      <c r="F40" s="215" t="str">
        <f ca="1">IF(ISERROR($V40),"",OFFSET('Smelter Look-up'!$E$4,$V40-4,0))</f>
        <v/>
      </c>
      <c r="G40" s="215" t="str">
        <f ca="1">IF(C40=$X$4,"Enter smelter details",IF(ISERROR($V40),"",OFFSET('Smelter Look-up'!$F$4,$V40-4,0)))</f>
        <v/>
      </c>
      <c r="H40" s="216" t="str">
        <f ca="1">IF(ISERROR($V40),"",OFFSET('Smelter Look-up'!$G$4,$V40-4,0))</f>
        <v/>
      </c>
      <c r="I40" s="217" t="str">
        <f ca="1">IF(ISERROR($V40),"",OFFSET('Smelter Look-up'!$H$4,$V40-4,0))</f>
        <v/>
      </c>
      <c r="J40" s="217" t="str">
        <f ca="1">IF(ISERROR($V40),"",OFFSET('Smelter Look-up'!$I$4,$V40-4,0))</f>
        <v/>
      </c>
      <c r="K40" s="268"/>
      <c r="L40" s="268"/>
      <c r="M40" s="268"/>
      <c r="N40" s="268"/>
      <c r="O40" s="268"/>
      <c r="P40" s="218"/>
      <c r="Q40" s="269"/>
      <c r="R40" s="215" t="str">
        <f ca="1">IF(ISERROR($V40),"",OFFSET('Smelter Look-up'!$C$4,$V40-4,0)&amp;"")</f>
        <v/>
      </c>
      <c r="S40" s="222" t="str">
        <f t="shared" ca="1" si="6"/>
        <v/>
      </c>
      <c r="T40" s="222" t="str">
        <f ca="1">IF(B40="","",IF(ISERROR(MATCH($J40,SorP!$B$1:$B$6230,0)),"",INDIRECT("'SorP'!$A$"&amp;MATCH($J40,SorP!$B$1:$B$6230,0))))</f>
        <v/>
      </c>
      <c r="U40" s="238"/>
      <c r="V40" s="270" t="e">
        <f>IF(C40="",NA(),MATCH($B40&amp;$C40,'Smelter Look-up'!$J:$J,0))</f>
        <v>#N/A</v>
      </c>
      <c r="W40" s="271"/>
      <c r="X40" s="271">
        <f t="shared" ca="1" si="7"/>
        <v>0</v>
      </c>
      <c r="Y40" s="271"/>
      <c r="Z40" s="271"/>
      <c r="AB40" s="273" t="str">
        <f t="shared" si="8"/>
        <v/>
      </c>
    </row>
    <row r="41" spans="1:28" s="272" customFormat="1" ht="20.399999999999999">
      <c r="A41" s="214"/>
      <c r="B41" s="215" t="str">
        <f>IF(LEN(A41)=0,"",INDEX('Smelter Look-up'!$A:$A,MATCH($A41,'Smelter Look-up'!$E:$E,0)))</f>
        <v/>
      </c>
      <c r="C41" s="219" t="str">
        <f>IF(LEN(A41)=0,"",INDEX('Smelter Look-up'!$C:$C,MATCH($A41,'Smelter Look-up'!$E:$E,0)))</f>
        <v/>
      </c>
      <c r="D41" s="278"/>
      <c r="E41" s="215" t="str">
        <f ca="1">IF(ISERROR($V41),"",OFFSET('Smelter Look-up'!$D$4,$V41-4,0)&amp;"")</f>
        <v/>
      </c>
      <c r="F41" s="215" t="str">
        <f ca="1">IF(ISERROR($V41),"",OFFSET('Smelter Look-up'!$E$4,$V41-4,0))</f>
        <v/>
      </c>
      <c r="G41" s="215" t="str">
        <f ca="1">IF(C41=$X$4,"Enter smelter details",IF(ISERROR($V41),"",OFFSET('Smelter Look-up'!$F$4,$V41-4,0)))</f>
        <v/>
      </c>
      <c r="H41" s="216" t="str">
        <f ca="1">IF(ISERROR($V41),"",OFFSET('Smelter Look-up'!$G$4,$V41-4,0))</f>
        <v/>
      </c>
      <c r="I41" s="217" t="str">
        <f ca="1">IF(ISERROR($V41),"",OFFSET('Smelter Look-up'!$H$4,$V41-4,0))</f>
        <v/>
      </c>
      <c r="J41" s="217" t="str">
        <f ca="1">IF(ISERROR($V41),"",OFFSET('Smelter Look-up'!$I$4,$V41-4,0))</f>
        <v/>
      </c>
      <c r="K41" s="268"/>
      <c r="L41" s="268"/>
      <c r="M41" s="268"/>
      <c r="N41" s="268"/>
      <c r="O41" s="268"/>
      <c r="P41" s="218"/>
      <c r="Q41" s="269"/>
      <c r="R41" s="215" t="str">
        <f ca="1">IF(ISERROR($V41),"",OFFSET('Smelter Look-up'!$C$4,$V41-4,0)&amp;"")</f>
        <v/>
      </c>
      <c r="S41" s="222" t="str">
        <f t="shared" ca="1" si="6"/>
        <v/>
      </c>
      <c r="T41" s="222" t="str">
        <f ca="1">IF(B41="","",IF(ISERROR(MATCH($J41,SorP!$B$1:$B$6230,0)),"",INDIRECT("'SorP'!$A$"&amp;MATCH($J41,SorP!$B$1:$B$6230,0))))</f>
        <v/>
      </c>
      <c r="U41" s="238"/>
      <c r="V41" s="270" t="e">
        <f>IF(C41="",NA(),MATCH($B41&amp;$C41,'Smelter Look-up'!$J:$J,0))</f>
        <v>#N/A</v>
      </c>
      <c r="W41" s="271"/>
      <c r="X41" s="271">
        <f t="shared" ca="1" si="7"/>
        <v>0</v>
      </c>
      <c r="Y41" s="271"/>
      <c r="Z41" s="271"/>
      <c r="AB41" s="273" t="str">
        <f t="shared" si="8"/>
        <v/>
      </c>
    </row>
    <row r="42" spans="1:28" s="272" customFormat="1" ht="20.399999999999999">
      <c r="A42" s="214"/>
      <c r="B42" s="215" t="str">
        <f>IF(LEN(A42)=0,"",INDEX('Smelter Look-up'!$A:$A,MATCH($A42,'Smelter Look-up'!$E:$E,0)))</f>
        <v/>
      </c>
      <c r="C42" s="219" t="str">
        <f>IF(LEN(A42)=0,"",INDEX('Smelter Look-up'!$C:$C,MATCH($A42,'Smelter Look-up'!$E:$E,0)))</f>
        <v/>
      </c>
      <c r="D42" s="278"/>
      <c r="E42" s="215" t="str">
        <f ca="1">IF(ISERROR($V42),"",OFFSET('Smelter Look-up'!$D$4,$V42-4,0)&amp;"")</f>
        <v/>
      </c>
      <c r="F42" s="215" t="str">
        <f ca="1">IF(ISERROR($V42),"",OFFSET('Smelter Look-up'!$E$4,$V42-4,0))</f>
        <v/>
      </c>
      <c r="G42" s="215" t="str">
        <f ca="1">IF(C42=$X$4,"Enter smelter details",IF(ISERROR($V42),"",OFFSET('Smelter Look-up'!$F$4,$V42-4,0)))</f>
        <v/>
      </c>
      <c r="H42" s="216" t="str">
        <f ca="1">IF(ISERROR($V42),"",OFFSET('Smelter Look-up'!$G$4,$V42-4,0))</f>
        <v/>
      </c>
      <c r="I42" s="217" t="str">
        <f ca="1">IF(ISERROR($V42),"",OFFSET('Smelter Look-up'!$H$4,$V42-4,0))</f>
        <v/>
      </c>
      <c r="J42" s="217" t="str">
        <f ca="1">IF(ISERROR($V42),"",OFFSET('Smelter Look-up'!$I$4,$V42-4,0))</f>
        <v/>
      </c>
      <c r="K42" s="268"/>
      <c r="L42" s="268"/>
      <c r="M42" s="268"/>
      <c r="N42" s="268"/>
      <c r="O42" s="268"/>
      <c r="P42" s="218"/>
      <c r="Q42" s="269"/>
      <c r="R42" s="215" t="str">
        <f ca="1">IF(ISERROR($V42),"",OFFSET('Smelter Look-up'!$C$4,$V42-4,0)&amp;"")</f>
        <v/>
      </c>
      <c r="S42" s="222" t="str">
        <f t="shared" ca="1" si="6"/>
        <v/>
      </c>
      <c r="T42" s="222" t="str">
        <f ca="1">IF(B42="","",IF(ISERROR(MATCH($J42,SorP!$B$1:$B$6230,0)),"",INDIRECT("'SorP'!$A$"&amp;MATCH($J42,SorP!$B$1:$B$6230,0))))</f>
        <v/>
      </c>
      <c r="U42" s="238"/>
      <c r="V42" s="270" t="e">
        <f>IF(C42="",NA(),MATCH($B42&amp;$C42,'Smelter Look-up'!$J:$J,0))</f>
        <v>#N/A</v>
      </c>
      <c r="W42" s="271"/>
      <c r="X42" s="271">
        <f t="shared" ca="1" si="7"/>
        <v>0</v>
      </c>
      <c r="Y42" s="271"/>
      <c r="Z42" s="271"/>
      <c r="AB42" s="273" t="str">
        <f t="shared" si="8"/>
        <v/>
      </c>
    </row>
    <row r="43" spans="1:28" s="272" customFormat="1" ht="20.399999999999999">
      <c r="A43" s="214"/>
      <c r="B43" s="215" t="str">
        <f>IF(LEN(A43)=0,"",INDEX('Smelter Look-up'!$A:$A,MATCH($A43,'Smelter Look-up'!$E:$E,0)))</f>
        <v/>
      </c>
      <c r="C43" s="219" t="str">
        <f>IF(LEN(A43)=0,"",INDEX('Smelter Look-up'!$C:$C,MATCH($A43,'Smelter Look-up'!$E:$E,0)))</f>
        <v/>
      </c>
      <c r="D43" s="278"/>
      <c r="E43" s="215" t="str">
        <f ca="1">IF(ISERROR($V43),"",OFFSET('Smelter Look-up'!$D$4,$V43-4,0)&amp;"")</f>
        <v/>
      </c>
      <c r="F43" s="215" t="str">
        <f ca="1">IF(ISERROR($V43),"",OFFSET('Smelter Look-up'!$E$4,$V43-4,0))</f>
        <v/>
      </c>
      <c r="G43" s="215" t="str">
        <f ca="1">IF(C43=$X$4,"Enter smelter details",IF(ISERROR($V43),"",OFFSET('Smelter Look-up'!$F$4,$V43-4,0)))</f>
        <v/>
      </c>
      <c r="H43" s="216" t="str">
        <f ca="1">IF(ISERROR($V43),"",OFFSET('Smelter Look-up'!$G$4,$V43-4,0))</f>
        <v/>
      </c>
      <c r="I43" s="217" t="str">
        <f ca="1">IF(ISERROR($V43),"",OFFSET('Smelter Look-up'!$H$4,$V43-4,0))</f>
        <v/>
      </c>
      <c r="J43" s="217" t="str">
        <f ca="1">IF(ISERROR($V43),"",OFFSET('Smelter Look-up'!$I$4,$V43-4,0))</f>
        <v/>
      </c>
      <c r="K43" s="268"/>
      <c r="L43" s="268"/>
      <c r="M43" s="268"/>
      <c r="N43" s="268"/>
      <c r="O43" s="268"/>
      <c r="P43" s="218"/>
      <c r="Q43" s="269"/>
      <c r="R43" s="215" t="str">
        <f ca="1">IF(ISERROR($V43),"",OFFSET('Smelter Look-up'!$C$4,$V43-4,0)&amp;"")</f>
        <v/>
      </c>
      <c r="S43" s="222" t="str">
        <f t="shared" ca="1" si="6"/>
        <v/>
      </c>
      <c r="T43" s="222" t="str">
        <f ca="1">IF(B43="","",IF(ISERROR(MATCH($J43,SorP!$B$1:$B$6230,0)),"",INDIRECT("'SorP'!$A$"&amp;MATCH($J43,SorP!$B$1:$B$6230,0))))</f>
        <v/>
      </c>
      <c r="U43" s="238"/>
      <c r="V43" s="270" t="e">
        <f>IF(C43="",NA(),MATCH($B43&amp;$C43,'Smelter Look-up'!$J:$J,0))</f>
        <v>#N/A</v>
      </c>
      <c r="W43" s="271"/>
      <c r="X43" s="271">
        <f t="shared" ca="1" si="7"/>
        <v>0</v>
      </c>
      <c r="Y43" s="271"/>
      <c r="Z43" s="271"/>
      <c r="AB43" s="273" t="str">
        <f t="shared" si="8"/>
        <v/>
      </c>
    </row>
    <row r="44" spans="1:28" s="272" customFormat="1" ht="20.399999999999999">
      <c r="A44" s="214"/>
      <c r="B44" s="215" t="str">
        <f>IF(LEN(A44)=0,"",INDEX('Smelter Look-up'!$A:$A,MATCH($A44,'Smelter Look-up'!$E:$E,0)))</f>
        <v/>
      </c>
      <c r="C44" s="219" t="str">
        <f>IF(LEN(A44)=0,"",INDEX('Smelter Look-up'!$C:$C,MATCH($A44,'Smelter Look-up'!$E:$E,0)))</f>
        <v/>
      </c>
      <c r="D44" s="278"/>
      <c r="E44" s="215" t="str">
        <f ca="1">IF(ISERROR($V44),"",OFFSET('Smelter Look-up'!$D$4,$V44-4,0)&amp;"")</f>
        <v/>
      </c>
      <c r="F44" s="215" t="str">
        <f ca="1">IF(ISERROR($V44),"",OFFSET('Smelter Look-up'!$E$4,$V44-4,0))</f>
        <v/>
      </c>
      <c r="G44" s="215" t="str">
        <f ca="1">IF(C44=$X$4,"Enter smelter details",IF(ISERROR($V44),"",OFFSET('Smelter Look-up'!$F$4,$V44-4,0)))</f>
        <v/>
      </c>
      <c r="H44" s="216" t="str">
        <f ca="1">IF(ISERROR($V44),"",OFFSET('Smelter Look-up'!$G$4,$V44-4,0))</f>
        <v/>
      </c>
      <c r="I44" s="217" t="str">
        <f ca="1">IF(ISERROR($V44),"",OFFSET('Smelter Look-up'!$H$4,$V44-4,0))</f>
        <v/>
      </c>
      <c r="J44" s="217" t="str">
        <f ca="1">IF(ISERROR($V44),"",OFFSET('Smelter Look-up'!$I$4,$V44-4,0))</f>
        <v/>
      </c>
      <c r="K44" s="268"/>
      <c r="L44" s="268"/>
      <c r="M44" s="268"/>
      <c r="N44" s="268"/>
      <c r="O44" s="268"/>
      <c r="P44" s="218"/>
      <c r="Q44" s="269"/>
      <c r="R44" s="215" t="str">
        <f ca="1">IF(ISERROR($V44),"",OFFSET('Smelter Look-up'!$C$4,$V44-4,0)&amp;"")</f>
        <v/>
      </c>
      <c r="S44" s="222" t="str">
        <f t="shared" ca="1" si="6"/>
        <v/>
      </c>
      <c r="T44" s="222" t="str">
        <f ca="1">IF(B44="","",IF(ISERROR(MATCH($J44,SorP!$B$1:$B$6230,0)),"",INDIRECT("'SorP'!$A$"&amp;MATCH($J44,SorP!$B$1:$B$6230,0))))</f>
        <v/>
      </c>
      <c r="U44" s="238"/>
      <c r="V44" s="270" t="e">
        <f>IF(C44="",NA(),MATCH($B44&amp;$C44,'Smelter Look-up'!$J:$J,0))</f>
        <v>#N/A</v>
      </c>
      <c r="W44" s="271"/>
      <c r="X44" s="271">
        <f t="shared" ca="1" si="7"/>
        <v>0</v>
      </c>
      <c r="Y44" s="271"/>
      <c r="Z44" s="271"/>
      <c r="AB44" s="273" t="str">
        <f t="shared" si="8"/>
        <v/>
      </c>
    </row>
    <row r="45" spans="1:28" s="272" customFormat="1" ht="20.399999999999999">
      <c r="A45" s="214"/>
      <c r="B45" s="215" t="str">
        <f>IF(LEN(A45)=0,"",INDEX('Smelter Look-up'!$A:$A,MATCH($A45,'Smelter Look-up'!$E:$E,0)))</f>
        <v/>
      </c>
      <c r="C45" s="219" t="str">
        <f>IF(LEN(A45)=0,"",INDEX('Smelter Look-up'!$C:$C,MATCH($A45,'Smelter Look-up'!$E:$E,0)))</f>
        <v/>
      </c>
      <c r="D45" s="278"/>
      <c r="E45" s="215" t="str">
        <f ca="1">IF(ISERROR($V45),"",OFFSET('Smelter Look-up'!$D$4,$V45-4,0)&amp;"")</f>
        <v/>
      </c>
      <c r="F45" s="215" t="str">
        <f ca="1">IF(ISERROR($V45),"",OFFSET('Smelter Look-up'!$E$4,$V45-4,0))</f>
        <v/>
      </c>
      <c r="G45" s="215" t="str">
        <f ca="1">IF(C45=$X$4,"Enter smelter details",IF(ISERROR($V45),"",OFFSET('Smelter Look-up'!$F$4,$V45-4,0)))</f>
        <v/>
      </c>
      <c r="H45" s="216" t="str">
        <f ca="1">IF(ISERROR($V45),"",OFFSET('Smelter Look-up'!$G$4,$V45-4,0))</f>
        <v/>
      </c>
      <c r="I45" s="217" t="str">
        <f ca="1">IF(ISERROR($V45),"",OFFSET('Smelter Look-up'!$H$4,$V45-4,0))</f>
        <v/>
      </c>
      <c r="J45" s="217" t="str">
        <f ca="1">IF(ISERROR($V45),"",OFFSET('Smelter Look-up'!$I$4,$V45-4,0))</f>
        <v/>
      </c>
      <c r="K45" s="268"/>
      <c r="L45" s="268"/>
      <c r="M45" s="268"/>
      <c r="N45" s="268"/>
      <c r="O45" s="268"/>
      <c r="P45" s="218"/>
      <c r="Q45" s="269"/>
      <c r="R45" s="215" t="str">
        <f ca="1">IF(ISERROR($V45),"",OFFSET('Smelter Look-up'!$C$4,$V45-4,0)&amp;"")</f>
        <v/>
      </c>
      <c r="S45" s="222" t="str">
        <f t="shared" ca="1" si="6"/>
        <v/>
      </c>
      <c r="T45" s="222" t="str">
        <f ca="1">IF(B45="","",IF(ISERROR(MATCH($J45,SorP!$B$1:$B$6230,0)),"",INDIRECT("'SorP'!$A$"&amp;MATCH($J45,SorP!$B$1:$B$6230,0))))</f>
        <v/>
      </c>
      <c r="U45" s="238"/>
      <c r="V45" s="270" t="e">
        <f>IF(C45="",NA(),MATCH($B45&amp;$C45,'Smelter Look-up'!$J:$J,0))</f>
        <v>#N/A</v>
      </c>
      <c r="W45" s="271"/>
      <c r="X45" s="271">
        <f t="shared" ca="1" si="7"/>
        <v>0</v>
      </c>
      <c r="Y45" s="271"/>
      <c r="Z45" s="271"/>
      <c r="AB45" s="273" t="str">
        <f t="shared" si="8"/>
        <v/>
      </c>
    </row>
    <row r="46" spans="1:28" s="272" customFormat="1" ht="20.399999999999999">
      <c r="A46" s="214"/>
      <c r="B46" s="215" t="str">
        <f>IF(LEN(A46)=0,"",INDEX('Smelter Look-up'!$A:$A,MATCH($A46,'Smelter Look-up'!$E:$E,0)))</f>
        <v/>
      </c>
      <c r="C46" s="219" t="str">
        <f>IF(LEN(A46)=0,"",INDEX('Smelter Look-up'!$C:$C,MATCH($A46,'Smelter Look-up'!$E:$E,0)))</f>
        <v/>
      </c>
      <c r="D46" s="278"/>
      <c r="E46" s="215" t="str">
        <f ca="1">IF(ISERROR($V46),"",OFFSET('Smelter Look-up'!$D$4,$V46-4,0)&amp;"")</f>
        <v/>
      </c>
      <c r="F46" s="215" t="str">
        <f ca="1">IF(ISERROR($V46),"",OFFSET('Smelter Look-up'!$E$4,$V46-4,0))</f>
        <v/>
      </c>
      <c r="G46" s="215" t="str">
        <f ca="1">IF(C46=$X$4,"Enter smelter details",IF(ISERROR($V46),"",OFFSET('Smelter Look-up'!$F$4,$V46-4,0)))</f>
        <v/>
      </c>
      <c r="H46" s="216" t="str">
        <f ca="1">IF(ISERROR($V46),"",OFFSET('Smelter Look-up'!$G$4,$V46-4,0))</f>
        <v/>
      </c>
      <c r="I46" s="217" t="str">
        <f ca="1">IF(ISERROR($V46),"",OFFSET('Smelter Look-up'!$H$4,$V46-4,0))</f>
        <v/>
      </c>
      <c r="J46" s="217" t="str">
        <f ca="1">IF(ISERROR($V46),"",OFFSET('Smelter Look-up'!$I$4,$V46-4,0))</f>
        <v/>
      </c>
      <c r="K46" s="268"/>
      <c r="L46" s="268"/>
      <c r="M46" s="268"/>
      <c r="N46" s="268"/>
      <c r="O46" s="268"/>
      <c r="P46" s="218"/>
      <c r="Q46" s="269"/>
      <c r="R46" s="215" t="str">
        <f ca="1">IF(ISERROR($V46),"",OFFSET('Smelter Look-up'!$C$4,$V46-4,0)&amp;"")</f>
        <v/>
      </c>
      <c r="S46" s="222" t="str">
        <f t="shared" ca="1" si="6"/>
        <v/>
      </c>
      <c r="T46" s="222" t="str">
        <f ca="1">IF(B46="","",IF(ISERROR(MATCH($J46,SorP!$B$1:$B$6230,0)),"",INDIRECT("'SorP'!$A$"&amp;MATCH($J46,SorP!$B$1:$B$6230,0))))</f>
        <v/>
      </c>
      <c r="U46" s="238"/>
      <c r="V46" s="270" t="e">
        <f>IF(C46="",NA(),MATCH($B46&amp;$C46,'Smelter Look-up'!$J:$J,0))</f>
        <v>#N/A</v>
      </c>
      <c r="W46" s="271"/>
      <c r="X46" s="271">
        <f t="shared" ca="1" si="7"/>
        <v>0</v>
      </c>
      <c r="Y46" s="271"/>
      <c r="Z46" s="271"/>
      <c r="AB46" s="273" t="str">
        <f t="shared" si="8"/>
        <v/>
      </c>
    </row>
    <row r="47" spans="1:28" s="272" customFormat="1" ht="20.399999999999999">
      <c r="A47" s="214"/>
      <c r="B47" s="215" t="str">
        <f>IF(LEN(A47)=0,"",INDEX('Smelter Look-up'!$A:$A,MATCH($A47,'Smelter Look-up'!$E:$E,0)))</f>
        <v/>
      </c>
      <c r="C47" s="219" t="str">
        <f>IF(LEN(A47)=0,"",INDEX('Smelter Look-up'!$C:$C,MATCH($A47,'Smelter Look-up'!$E:$E,0)))</f>
        <v/>
      </c>
      <c r="D47" s="278"/>
      <c r="E47" s="215" t="str">
        <f ca="1">IF(ISERROR($V47),"",OFFSET('Smelter Look-up'!$D$4,$V47-4,0)&amp;"")</f>
        <v/>
      </c>
      <c r="F47" s="215" t="str">
        <f ca="1">IF(ISERROR($V47),"",OFFSET('Smelter Look-up'!$E$4,$V47-4,0))</f>
        <v/>
      </c>
      <c r="G47" s="215" t="str">
        <f ca="1">IF(C47=$X$4,"Enter smelter details",IF(ISERROR($V47),"",OFFSET('Smelter Look-up'!$F$4,$V47-4,0)))</f>
        <v/>
      </c>
      <c r="H47" s="216" t="str">
        <f ca="1">IF(ISERROR($V47),"",OFFSET('Smelter Look-up'!$G$4,$V47-4,0))</f>
        <v/>
      </c>
      <c r="I47" s="217" t="str">
        <f ca="1">IF(ISERROR($V47),"",OFFSET('Smelter Look-up'!$H$4,$V47-4,0))</f>
        <v/>
      </c>
      <c r="J47" s="217" t="str">
        <f ca="1">IF(ISERROR($V47),"",OFFSET('Smelter Look-up'!$I$4,$V47-4,0))</f>
        <v/>
      </c>
      <c r="K47" s="268"/>
      <c r="L47" s="268"/>
      <c r="M47" s="268"/>
      <c r="N47" s="268"/>
      <c r="O47" s="268"/>
      <c r="P47" s="218"/>
      <c r="Q47" s="269"/>
      <c r="R47" s="215" t="str">
        <f ca="1">IF(ISERROR($V47),"",OFFSET('Smelter Look-up'!$C$4,$V47-4,0)&amp;"")</f>
        <v/>
      </c>
      <c r="S47" s="222" t="str">
        <f t="shared" ca="1" si="6"/>
        <v/>
      </c>
      <c r="T47" s="222" t="str">
        <f ca="1">IF(B47="","",IF(ISERROR(MATCH($J47,SorP!$B$1:$B$6230,0)),"",INDIRECT("'SorP'!$A$"&amp;MATCH($J47,SorP!$B$1:$B$6230,0))))</f>
        <v/>
      </c>
      <c r="U47" s="238"/>
      <c r="V47" s="270" t="e">
        <f>IF(C47="",NA(),MATCH($B47&amp;$C47,'Smelter Look-up'!$J:$J,0))</f>
        <v>#N/A</v>
      </c>
      <c r="W47" s="271"/>
      <c r="X47" s="271">
        <f t="shared" ca="1" si="7"/>
        <v>0</v>
      </c>
      <c r="Y47" s="271"/>
      <c r="Z47" s="271"/>
      <c r="AB47" s="273" t="str">
        <f t="shared" si="8"/>
        <v/>
      </c>
    </row>
    <row r="48" spans="1:28" s="272" customFormat="1" ht="20.399999999999999">
      <c r="A48" s="214"/>
      <c r="B48" s="215" t="str">
        <f>IF(LEN(A48)=0,"",INDEX('Smelter Look-up'!$A:$A,MATCH($A48,'Smelter Look-up'!$E:$E,0)))</f>
        <v/>
      </c>
      <c r="C48" s="219" t="str">
        <f>IF(LEN(A48)=0,"",INDEX('Smelter Look-up'!$C:$C,MATCH($A48,'Smelter Look-up'!$E:$E,0)))</f>
        <v/>
      </c>
      <c r="D48" s="278"/>
      <c r="E48" s="215" t="str">
        <f ca="1">IF(ISERROR($V48),"",OFFSET('Smelter Look-up'!$D$4,$V48-4,0)&amp;"")</f>
        <v/>
      </c>
      <c r="F48" s="215" t="str">
        <f ca="1">IF(ISERROR($V48),"",OFFSET('Smelter Look-up'!$E$4,$V48-4,0))</f>
        <v/>
      </c>
      <c r="G48" s="215" t="str">
        <f ca="1">IF(C48=$X$4,"Enter smelter details",IF(ISERROR($V48),"",OFFSET('Smelter Look-up'!$F$4,$V48-4,0)))</f>
        <v/>
      </c>
      <c r="H48" s="216" t="str">
        <f ca="1">IF(ISERROR($V48),"",OFFSET('Smelter Look-up'!$G$4,$V48-4,0))</f>
        <v/>
      </c>
      <c r="I48" s="217" t="str">
        <f ca="1">IF(ISERROR($V48),"",OFFSET('Smelter Look-up'!$H$4,$V48-4,0))</f>
        <v/>
      </c>
      <c r="J48" s="217" t="str">
        <f ca="1">IF(ISERROR($V48),"",OFFSET('Smelter Look-up'!$I$4,$V48-4,0))</f>
        <v/>
      </c>
      <c r="K48" s="268"/>
      <c r="L48" s="268"/>
      <c r="M48" s="268"/>
      <c r="N48" s="268"/>
      <c r="O48" s="268"/>
      <c r="P48" s="218"/>
      <c r="Q48" s="269"/>
      <c r="R48" s="215" t="str">
        <f ca="1">IF(ISERROR($V48),"",OFFSET('Smelter Look-up'!$C$4,$V48-4,0)&amp;"")</f>
        <v/>
      </c>
      <c r="S48" s="222" t="str">
        <f t="shared" ca="1" si="6"/>
        <v/>
      </c>
      <c r="T48" s="222" t="str">
        <f ca="1">IF(B48="","",IF(ISERROR(MATCH($J48,SorP!$B$1:$B$6230,0)),"",INDIRECT("'SorP'!$A$"&amp;MATCH($J48,SorP!$B$1:$B$6230,0))))</f>
        <v/>
      </c>
      <c r="U48" s="238"/>
      <c r="V48" s="270" t="e">
        <f>IF(C48="",NA(),MATCH($B48&amp;$C48,'Smelter Look-up'!$J:$J,0))</f>
        <v>#N/A</v>
      </c>
      <c r="W48" s="271"/>
      <c r="X48" s="271">
        <f t="shared" ca="1" si="7"/>
        <v>0</v>
      </c>
      <c r="Y48" s="271"/>
      <c r="Z48" s="271"/>
      <c r="AB48" s="273" t="str">
        <f t="shared" si="8"/>
        <v/>
      </c>
    </row>
    <row r="49" spans="1:28" s="272" customFormat="1" ht="20.399999999999999">
      <c r="A49" s="214"/>
      <c r="B49" s="215" t="str">
        <f>IF(LEN(A49)=0,"",INDEX('Smelter Look-up'!$A:$A,MATCH($A49,'Smelter Look-up'!$E:$E,0)))</f>
        <v/>
      </c>
      <c r="C49" s="219" t="str">
        <f>IF(LEN(A49)=0,"",INDEX('Smelter Look-up'!$C:$C,MATCH($A49,'Smelter Look-up'!$E:$E,0)))</f>
        <v/>
      </c>
      <c r="D49" s="278"/>
      <c r="E49" s="215" t="str">
        <f ca="1">IF(ISERROR($V49),"",OFFSET('Smelter Look-up'!$D$4,$V49-4,0)&amp;"")</f>
        <v/>
      </c>
      <c r="F49" s="215" t="str">
        <f ca="1">IF(ISERROR($V49),"",OFFSET('Smelter Look-up'!$E$4,$V49-4,0))</f>
        <v/>
      </c>
      <c r="G49" s="215" t="str">
        <f ca="1">IF(C49=$X$4,"Enter smelter details",IF(ISERROR($V49),"",OFFSET('Smelter Look-up'!$F$4,$V49-4,0)))</f>
        <v/>
      </c>
      <c r="H49" s="216" t="str">
        <f ca="1">IF(ISERROR($V49),"",OFFSET('Smelter Look-up'!$G$4,$V49-4,0))</f>
        <v/>
      </c>
      <c r="I49" s="217" t="str">
        <f ca="1">IF(ISERROR($V49),"",OFFSET('Smelter Look-up'!$H$4,$V49-4,0))</f>
        <v/>
      </c>
      <c r="J49" s="217" t="str">
        <f ca="1">IF(ISERROR($V49),"",OFFSET('Smelter Look-up'!$I$4,$V49-4,0))</f>
        <v/>
      </c>
      <c r="K49" s="268"/>
      <c r="L49" s="268"/>
      <c r="M49" s="268"/>
      <c r="N49" s="268"/>
      <c r="O49" s="268"/>
      <c r="P49" s="218"/>
      <c r="Q49" s="269"/>
      <c r="R49" s="215" t="str">
        <f ca="1">IF(ISERROR($V49),"",OFFSET('Smelter Look-up'!$C$4,$V49-4,0)&amp;"")</f>
        <v/>
      </c>
      <c r="S49" s="222" t="str">
        <f t="shared" ca="1" si="6"/>
        <v/>
      </c>
      <c r="T49" s="222" t="str">
        <f ca="1">IF(B49="","",IF(ISERROR(MATCH($J49,SorP!$B$1:$B$6230,0)),"",INDIRECT("'SorP'!$A$"&amp;MATCH($J49,SorP!$B$1:$B$6230,0))))</f>
        <v/>
      </c>
      <c r="U49" s="238"/>
      <c r="V49" s="270" t="e">
        <f>IF(C49="",NA(),MATCH($B49&amp;$C49,'Smelter Look-up'!$J:$J,0))</f>
        <v>#N/A</v>
      </c>
      <c r="W49" s="271"/>
      <c r="X49" s="271">
        <f t="shared" ca="1" si="7"/>
        <v>0</v>
      </c>
      <c r="Y49" s="271"/>
      <c r="Z49" s="271"/>
      <c r="AB49" s="273" t="str">
        <f t="shared" si="8"/>
        <v/>
      </c>
    </row>
    <row r="50" spans="1:28" s="272" customFormat="1" ht="20.399999999999999">
      <c r="A50" s="214"/>
      <c r="B50" s="215" t="str">
        <f>IF(LEN(A50)=0,"",INDEX('Smelter Look-up'!$A:$A,MATCH($A50,'Smelter Look-up'!$E:$E,0)))</f>
        <v/>
      </c>
      <c r="C50" s="219" t="str">
        <f>IF(LEN(A50)=0,"",INDEX('Smelter Look-up'!$C:$C,MATCH($A50,'Smelter Look-up'!$E:$E,0)))</f>
        <v/>
      </c>
      <c r="D50" s="278"/>
      <c r="E50" s="215" t="str">
        <f ca="1">IF(ISERROR($V50),"",OFFSET('Smelter Look-up'!$D$4,$V50-4,0)&amp;"")</f>
        <v/>
      </c>
      <c r="F50" s="215" t="str">
        <f ca="1">IF(ISERROR($V50),"",OFFSET('Smelter Look-up'!$E$4,$V50-4,0))</f>
        <v/>
      </c>
      <c r="G50" s="215" t="str">
        <f ca="1">IF(C50=$X$4,"Enter smelter details",IF(ISERROR($V50),"",OFFSET('Smelter Look-up'!$F$4,$V50-4,0)))</f>
        <v/>
      </c>
      <c r="H50" s="216" t="str">
        <f ca="1">IF(ISERROR($V50),"",OFFSET('Smelter Look-up'!$G$4,$V50-4,0))</f>
        <v/>
      </c>
      <c r="I50" s="217" t="str">
        <f ca="1">IF(ISERROR($V50),"",OFFSET('Smelter Look-up'!$H$4,$V50-4,0))</f>
        <v/>
      </c>
      <c r="J50" s="217" t="str">
        <f ca="1">IF(ISERROR($V50),"",OFFSET('Smelter Look-up'!$I$4,$V50-4,0))</f>
        <v/>
      </c>
      <c r="K50" s="268"/>
      <c r="L50" s="268"/>
      <c r="M50" s="268"/>
      <c r="N50" s="268"/>
      <c r="O50" s="268"/>
      <c r="P50" s="218"/>
      <c r="Q50" s="269"/>
      <c r="R50" s="215" t="str">
        <f ca="1">IF(ISERROR($V50),"",OFFSET('Smelter Look-up'!$C$4,$V50-4,0)&amp;"")</f>
        <v/>
      </c>
      <c r="S50" s="222" t="str">
        <f t="shared" ca="1" si="6"/>
        <v/>
      </c>
      <c r="T50" s="222" t="str">
        <f ca="1">IF(B50="","",IF(ISERROR(MATCH($J50,SorP!$B$1:$B$6230,0)),"",INDIRECT("'SorP'!$A$"&amp;MATCH($J50,SorP!$B$1:$B$6230,0))))</f>
        <v/>
      </c>
      <c r="U50" s="238"/>
      <c r="V50" s="270" t="e">
        <f>IF(C50="",NA(),MATCH($B50&amp;$C50,'Smelter Look-up'!$J:$J,0))</f>
        <v>#N/A</v>
      </c>
      <c r="W50" s="271"/>
      <c r="X50" s="271">
        <f t="shared" ca="1" si="7"/>
        <v>0</v>
      </c>
      <c r="Y50" s="271"/>
      <c r="Z50" s="271"/>
      <c r="AB50" s="273" t="str">
        <f t="shared" si="8"/>
        <v/>
      </c>
    </row>
    <row r="51" spans="1:28" s="272" customFormat="1" ht="20.399999999999999">
      <c r="A51" s="214"/>
      <c r="B51" s="215" t="str">
        <f>IF(LEN(A51)=0,"",INDEX('Smelter Look-up'!$A:$A,MATCH($A51,'Smelter Look-up'!$E:$E,0)))</f>
        <v/>
      </c>
      <c r="C51" s="219" t="str">
        <f>IF(LEN(A51)=0,"",INDEX('Smelter Look-up'!$C:$C,MATCH($A51,'Smelter Look-up'!$E:$E,0)))</f>
        <v/>
      </c>
      <c r="D51" s="278"/>
      <c r="E51" s="215" t="str">
        <f ca="1">IF(ISERROR($V51),"",OFFSET('Smelter Look-up'!$D$4,$V51-4,0)&amp;"")</f>
        <v/>
      </c>
      <c r="F51" s="215" t="str">
        <f ca="1">IF(ISERROR($V51),"",OFFSET('Smelter Look-up'!$E$4,$V51-4,0))</f>
        <v/>
      </c>
      <c r="G51" s="215" t="str">
        <f ca="1">IF(C51=$X$4,"Enter smelter details",IF(ISERROR($V51),"",OFFSET('Smelter Look-up'!$F$4,$V51-4,0)))</f>
        <v/>
      </c>
      <c r="H51" s="216" t="str">
        <f ca="1">IF(ISERROR($V51),"",OFFSET('Smelter Look-up'!$G$4,$V51-4,0))</f>
        <v/>
      </c>
      <c r="I51" s="217" t="str">
        <f ca="1">IF(ISERROR($V51),"",OFFSET('Smelter Look-up'!$H$4,$V51-4,0))</f>
        <v/>
      </c>
      <c r="J51" s="217" t="str">
        <f ca="1">IF(ISERROR($V51),"",OFFSET('Smelter Look-up'!$I$4,$V51-4,0))</f>
        <v/>
      </c>
      <c r="K51" s="268"/>
      <c r="L51" s="268"/>
      <c r="M51" s="268"/>
      <c r="N51" s="268"/>
      <c r="O51" s="268"/>
      <c r="P51" s="218"/>
      <c r="Q51" s="269"/>
      <c r="R51" s="215" t="str">
        <f ca="1">IF(ISERROR($V51),"",OFFSET('Smelter Look-up'!$C$4,$V51-4,0)&amp;"")</f>
        <v/>
      </c>
      <c r="S51" s="222" t="str">
        <f t="shared" ca="1" si="6"/>
        <v/>
      </c>
      <c r="T51" s="222" t="str">
        <f ca="1">IF(B51="","",IF(ISERROR(MATCH($J51,SorP!$B$1:$B$6230,0)),"",INDIRECT("'SorP'!$A$"&amp;MATCH($J51,SorP!$B$1:$B$6230,0))))</f>
        <v/>
      </c>
      <c r="U51" s="238"/>
      <c r="V51" s="270" t="e">
        <f>IF(C51="",NA(),MATCH($B51&amp;$C51,'Smelter Look-up'!$J:$J,0))</f>
        <v>#N/A</v>
      </c>
      <c r="W51" s="271"/>
      <c r="X51" s="271">
        <f t="shared" ca="1" si="7"/>
        <v>0</v>
      </c>
      <c r="Y51" s="271"/>
      <c r="Z51" s="271"/>
      <c r="AB51" s="273" t="str">
        <f t="shared" si="8"/>
        <v/>
      </c>
    </row>
    <row r="52" spans="1:28" s="272" customFormat="1" ht="20.399999999999999">
      <c r="A52" s="214"/>
      <c r="B52" s="215" t="str">
        <f>IF(LEN(A52)=0,"",INDEX('Smelter Look-up'!$A:$A,MATCH($A52,'Smelter Look-up'!$E:$E,0)))</f>
        <v/>
      </c>
      <c r="C52" s="219" t="str">
        <f>IF(LEN(A52)=0,"",INDEX('Smelter Look-up'!$C:$C,MATCH($A52,'Smelter Look-up'!$E:$E,0)))</f>
        <v/>
      </c>
      <c r="D52" s="278"/>
      <c r="E52" s="215" t="str">
        <f ca="1">IF(ISERROR($V52),"",OFFSET('Smelter Look-up'!$D$4,$V52-4,0)&amp;"")</f>
        <v/>
      </c>
      <c r="F52" s="215" t="str">
        <f ca="1">IF(ISERROR($V52),"",OFFSET('Smelter Look-up'!$E$4,$V52-4,0))</f>
        <v/>
      </c>
      <c r="G52" s="215" t="str">
        <f ca="1">IF(C52=$X$4,"Enter smelter details",IF(ISERROR($V52),"",OFFSET('Smelter Look-up'!$F$4,$V52-4,0)))</f>
        <v/>
      </c>
      <c r="H52" s="216" t="str">
        <f ca="1">IF(ISERROR($V52),"",OFFSET('Smelter Look-up'!$G$4,$V52-4,0))</f>
        <v/>
      </c>
      <c r="I52" s="217" t="str">
        <f ca="1">IF(ISERROR($V52),"",OFFSET('Smelter Look-up'!$H$4,$V52-4,0))</f>
        <v/>
      </c>
      <c r="J52" s="217" t="str">
        <f ca="1">IF(ISERROR($V52),"",OFFSET('Smelter Look-up'!$I$4,$V52-4,0))</f>
        <v/>
      </c>
      <c r="K52" s="268"/>
      <c r="L52" s="268"/>
      <c r="M52" s="268"/>
      <c r="N52" s="268"/>
      <c r="O52" s="268"/>
      <c r="P52" s="218"/>
      <c r="Q52" s="269"/>
      <c r="R52" s="215" t="str">
        <f ca="1">IF(ISERROR($V52),"",OFFSET('Smelter Look-up'!$C$4,$V52-4,0)&amp;"")</f>
        <v/>
      </c>
      <c r="S52" s="222" t="str">
        <f t="shared" ca="1" si="6"/>
        <v/>
      </c>
      <c r="T52" s="222" t="str">
        <f ca="1">IF(B52="","",IF(ISERROR(MATCH($J52,SorP!$B$1:$B$6230,0)),"",INDIRECT("'SorP'!$A$"&amp;MATCH($J52,SorP!$B$1:$B$6230,0))))</f>
        <v/>
      </c>
      <c r="U52" s="238"/>
      <c r="V52" s="270" t="e">
        <f>IF(C52="",NA(),MATCH($B52&amp;$C52,'Smelter Look-up'!$J:$J,0))</f>
        <v>#N/A</v>
      </c>
      <c r="W52" s="271"/>
      <c r="X52" s="271">
        <f t="shared" ca="1" si="7"/>
        <v>0</v>
      </c>
      <c r="Y52" s="271"/>
      <c r="Z52" s="271"/>
      <c r="AB52" s="273" t="str">
        <f t="shared" si="8"/>
        <v/>
      </c>
    </row>
    <row r="53" spans="1:28" s="272" customFormat="1" ht="20.399999999999999">
      <c r="A53" s="214"/>
      <c r="B53" s="215" t="str">
        <f>IF(LEN(A53)=0,"",INDEX('Smelter Look-up'!$A:$A,MATCH($A53,'Smelter Look-up'!$E:$E,0)))</f>
        <v/>
      </c>
      <c r="C53" s="219" t="str">
        <f>IF(LEN(A53)=0,"",INDEX('Smelter Look-up'!$C:$C,MATCH($A53,'Smelter Look-up'!$E:$E,0)))</f>
        <v/>
      </c>
      <c r="D53" s="278"/>
      <c r="E53" s="215" t="str">
        <f ca="1">IF(ISERROR($V53),"",OFFSET('Smelter Look-up'!$D$4,$V53-4,0)&amp;"")</f>
        <v/>
      </c>
      <c r="F53" s="215" t="str">
        <f ca="1">IF(ISERROR($V53),"",OFFSET('Smelter Look-up'!$E$4,$V53-4,0))</f>
        <v/>
      </c>
      <c r="G53" s="215" t="str">
        <f ca="1">IF(C53=$X$4,"Enter smelter details",IF(ISERROR($V53),"",OFFSET('Smelter Look-up'!$F$4,$V53-4,0)))</f>
        <v/>
      </c>
      <c r="H53" s="216" t="str">
        <f ca="1">IF(ISERROR($V53),"",OFFSET('Smelter Look-up'!$G$4,$V53-4,0))</f>
        <v/>
      </c>
      <c r="I53" s="217" t="str">
        <f ca="1">IF(ISERROR($V53),"",OFFSET('Smelter Look-up'!$H$4,$V53-4,0))</f>
        <v/>
      </c>
      <c r="J53" s="217" t="str">
        <f ca="1">IF(ISERROR($V53),"",OFFSET('Smelter Look-up'!$I$4,$V53-4,0))</f>
        <v/>
      </c>
      <c r="K53" s="268"/>
      <c r="L53" s="268"/>
      <c r="M53" s="268"/>
      <c r="N53" s="268"/>
      <c r="O53" s="268"/>
      <c r="P53" s="218"/>
      <c r="Q53" s="269"/>
      <c r="R53" s="215" t="str">
        <f ca="1">IF(ISERROR($V53),"",OFFSET('Smelter Look-up'!$C$4,$V53-4,0)&amp;"")</f>
        <v/>
      </c>
      <c r="S53" s="222" t="str">
        <f t="shared" ca="1" si="6"/>
        <v/>
      </c>
      <c r="T53" s="222" t="str">
        <f ca="1">IF(B53="","",IF(ISERROR(MATCH($J53,SorP!$B$1:$B$6230,0)),"",INDIRECT("'SorP'!$A$"&amp;MATCH($J53,SorP!$B$1:$B$6230,0))))</f>
        <v/>
      </c>
      <c r="U53" s="238"/>
      <c r="V53" s="270" t="e">
        <f>IF(C53="",NA(),MATCH($B53&amp;$C53,'Smelter Look-up'!$J:$J,0))</f>
        <v>#N/A</v>
      </c>
      <c r="W53" s="271"/>
      <c r="X53" s="271">
        <f t="shared" ca="1" si="7"/>
        <v>0</v>
      </c>
      <c r="Y53" s="271"/>
      <c r="Z53" s="271"/>
      <c r="AB53" s="273" t="str">
        <f t="shared" si="8"/>
        <v/>
      </c>
    </row>
    <row r="54" spans="1:28" s="272" customFormat="1" ht="20.399999999999999">
      <c r="A54" s="214"/>
      <c r="B54" s="215" t="str">
        <f>IF(LEN(A54)=0,"",INDEX('Smelter Look-up'!$A:$A,MATCH($A54,'Smelter Look-up'!$E:$E,0)))</f>
        <v/>
      </c>
      <c r="C54" s="219" t="str">
        <f>IF(LEN(A54)=0,"",INDEX('Smelter Look-up'!$C:$C,MATCH($A54,'Smelter Look-up'!$E:$E,0)))</f>
        <v/>
      </c>
      <c r="D54" s="278"/>
      <c r="E54" s="215" t="str">
        <f ca="1">IF(ISERROR($V54),"",OFFSET('Smelter Look-up'!$D$4,$V54-4,0)&amp;"")</f>
        <v/>
      </c>
      <c r="F54" s="215" t="str">
        <f ca="1">IF(ISERROR($V54),"",OFFSET('Smelter Look-up'!$E$4,$V54-4,0))</f>
        <v/>
      </c>
      <c r="G54" s="215" t="str">
        <f ca="1">IF(C54=$X$4,"Enter smelter details",IF(ISERROR($V54),"",OFFSET('Smelter Look-up'!$F$4,$V54-4,0)))</f>
        <v/>
      </c>
      <c r="H54" s="216" t="str">
        <f ca="1">IF(ISERROR($V54),"",OFFSET('Smelter Look-up'!$G$4,$V54-4,0))</f>
        <v/>
      </c>
      <c r="I54" s="217" t="str">
        <f ca="1">IF(ISERROR($V54),"",OFFSET('Smelter Look-up'!$H$4,$V54-4,0))</f>
        <v/>
      </c>
      <c r="J54" s="217" t="str">
        <f ca="1">IF(ISERROR($V54),"",OFFSET('Smelter Look-up'!$I$4,$V54-4,0))</f>
        <v/>
      </c>
      <c r="K54" s="268"/>
      <c r="L54" s="268"/>
      <c r="M54" s="268"/>
      <c r="N54" s="268"/>
      <c r="O54" s="268"/>
      <c r="P54" s="218"/>
      <c r="Q54" s="269"/>
      <c r="R54" s="215" t="str">
        <f ca="1">IF(ISERROR($V54),"",OFFSET('Smelter Look-up'!$C$4,$V54-4,0)&amp;"")</f>
        <v/>
      </c>
      <c r="S54" s="222" t="str">
        <f t="shared" ca="1" si="6"/>
        <v/>
      </c>
      <c r="T54" s="222" t="str">
        <f ca="1">IF(B54="","",IF(ISERROR(MATCH($J54,SorP!$B$1:$B$6230,0)),"",INDIRECT("'SorP'!$A$"&amp;MATCH($J54,SorP!$B$1:$B$6230,0))))</f>
        <v/>
      </c>
      <c r="U54" s="238"/>
      <c r="V54" s="270" t="e">
        <f>IF(C54="",NA(),MATCH($B54&amp;$C54,'Smelter Look-up'!$J:$J,0))</f>
        <v>#N/A</v>
      </c>
      <c r="W54" s="271"/>
      <c r="X54" s="271">
        <f t="shared" ca="1" si="7"/>
        <v>0</v>
      </c>
      <c r="Y54" s="271"/>
      <c r="Z54" s="271"/>
      <c r="AB54" s="273" t="str">
        <f t="shared" si="8"/>
        <v/>
      </c>
    </row>
    <row r="55" spans="1:28" s="272" customFormat="1" ht="20.399999999999999">
      <c r="A55" s="214"/>
      <c r="B55" s="215" t="str">
        <f>IF(LEN(A55)=0,"",INDEX('Smelter Look-up'!$A:$A,MATCH($A55,'Smelter Look-up'!$E:$E,0)))</f>
        <v/>
      </c>
      <c r="C55" s="219" t="str">
        <f>IF(LEN(A55)=0,"",INDEX('Smelter Look-up'!$C:$C,MATCH($A55,'Smelter Look-up'!$E:$E,0)))</f>
        <v/>
      </c>
      <c r="D55" s="278"/>
      <c r="E55" s="215" t="str">
        <f ca="1">IF(ISERROR($V55),"",OFFSET('Smelter Look-up'!$D$4,$V55-4,0)&amp;"")</f>
        <v/>
      </c>
      <c r="F55" s="215" t="str">
        <f ca="1">IF(ISERROR($V55),"",OFFSET('Smelter Look-up'!$E$4,$V55-4,0))</f>
        <v/>
      </c>
      <c r="G55" s="215" t="str">
        <f ca="1">IF(C55=$X$4,"Enter smelter details",IF(ISERROR($V55),"",OFFSET('Smelter Look-up'!$F$4,$V55-4,0)))</f>
        <v/>
      </c>
      <c r="H55" s="216" t="str">
        <f ca="1">IF(ISERROR($V55),"",OFFSET('Smelter Look-up'!$G$4,$V55-4,0))</f>
        <v/>
      </c>
      <c r="I55" s="217" t="str">
        <f ca="1">IF(ISERROR($V55),"",OFFSET('Smelter Look-up'!$H$4,$V55-4,0))</f>
        <v/>
      </c>
      <c r="J55" s="217" t="str">
        <f ca="1">IF(ISERROR($V55),"",OFFSET('Smelter Look-up'!$I$4,$V55-4,0))</f>
        <v/>
      </c>
      <c r="K55" s="268"/>
      <c r="L55" s="268"/>
      <c r="M55" s="268"/>
      <c r="N55" s="268"/>
      <c r="O55" s="268"/>
      <c r="P55" s="218"/>
      <c r="Q55" s="269"/>
      <c r="R55" s="215" t="str">
        <f ca="1">IF(ISERROR($V55),"",OFFSET('Smelter Look-up'!$C$4,$V55-4,0)&amp;"")</f>
        <v/>
      </c>
      <c r="S55" s="222" t="str">
        <f t="shared" ca="1" si="6"/>
        <v/>
      </c>
      <c r="T55" s="222" t="str">
        <f ca="1">IF(B55="","",IF(ISERROR(MATCH($J55,SorP!$B$1:$B$6230,0)),"",INDIRECT("'SorP'!$A$"&amp;MATCH($J55,SorP!$B$1:$B$6230,0))))</f>
        <v/>
      </c>
      <c r="U55" s="238"/>
      <c r="V55" s="270" t="e">
        <f>IF(C55="",NA(),MATCH($B55&amp;$C55,'Smelter Look-up'!$J:$J,0))</f>
        <v>#N/A</v>
      </c>
      <c r="W55" s="271"/>
      <c r="X55" s="271">
        <f t="shared" ca="1" si="7"/>
        <v>0</v>
      </c>
      <c r="Y55" s="271"/>
      <c r="Z55" s="271"/>
      <c r="AB55" s="273" t="str">
        <f t="shared" si="8"/>
        <v/>
      </c>
    </row>
    <row r="56" spans="1:28" s="272" customFormat="1" ht="20.399999999999999">
      <c r="A56" s="214"/>
      <c r="B56" s="215" t="str">
        <f>IF(LEN(A56)=0,"",INDEX('Smelter Look-up'!$A:$A,MATCH($A56,'Smelter Look-up'!$E:$E,0)))</f>
        <v/>
      </c>
      <c r="C56" s="219" t="str">
        <f>IF(LEN(A56)=0,"",INDEX('Smelter Look-up'!$C:$C,MATCH($A56,'Smelter Look-up'!$E:$E,0)))</f>
        <v/>
      </c>
      <c r="D56" s="278"/>
      <c r="E56" s="215" t="str">
        <f ca="1">IF(ISERROR($V56),"",OFFSET('Smelter Look-up'!$D$4,$V56-4,0)&amp;"")</f>
        <v/>
      </c>
      <c r="F56" s="215" t="str">
        <f ca="1">IF(ISERROR($V56),"",OFFSET('Smelter Look-up'!$E$4,$V56-4,0))</f>
        <v/>
      </c>
      <c r="G56" s="215" t="str">
        <f ca="1">IF(C56=$X$4,"Enter smelter details",IF(ISERROR($V56),"",OFFSET('Smelter Look-up'!$F$4,$V56-4,0)))</f>
        <v/>
      </c>
      <c r="H56" s="216" t="str">
        <f ca="1">IF(ISERROR($V56),"",OFFSET('Smelter Look-up'!$G$4,$V56-4,0))</f>
        <v/>
      </c>
      <c r="I56" s="217" t="str">
        <f ca="1">IF(ISERROR($V56),"",OFFSET('Smelter Look-up'!$H$4,$V56-4,0))</f>
        <v/>
      </c>
      <c r="J56" s="217" t="str">
        <f ca="1">IF(ISERROR($V56),"",OFFSET('Smelter Look-up'!$I$4,$V56-4,0))</f>
        <v/>
      </c>
      <c r="K56" s="268"/>
      <c r="L56" s="268"/>
      <c r="M56" s="268"/>
      <c r="N56" s="268"/>
      <c r="O56" s="268"/>
      <c r="P56" s="218"/>
      <c r="Q56" s="269"/>
      <c r="R56" s="215" t="str">
        <f ca="1">IF(ISERROR($V56),"",OFFSET('Smelter Look-up'!$C$4,$V56-4,0)&amp;"")</f>
        <v/>
      </c>
      <c r="S56" s="222" t="str">
        <f t="shared" ca="1" si="6"/>
        <v/>
      </c>
      <c r="T56" s="222" t="str">
        <f ca="1">IF(B56="","",IF(ISERROR(MATCH($J56,SorP!$B$1:$B$6230,0)),"",INDIRECT("'SorP'!$A$"&amp;MATCH($J56,SorP!$B$1:$B$6230,0))))</f>
        <v/>
      </c>
      <c r="U56" s="238"/>
      <c r="V56" s="270" t="e">
        <f>IF(C56="",NA(),MATCH($B56&amp;$C56,'Smelter Look-up'!$J:$J,0))</f>
        <v>#N/A</v>
      </c>
      <c r="W56" s="271"/>
      <c r="X56" s="271">
        <f t="shared" ca="1" si="7"/>
        <v>0</v>
      </c>
      <c r="Y56" s="271"/>
      <c r="Z56" s="271"/>
      <c r="AB56" s="273" t="str">
        <f t="shared" si="8"/>
        <v/>
      </c>
    </row>
    <row r="57" spans="1:28" s="272" customFormat="1" ht="20.399999999999999">
      <c r="A57" s="214"/>
      <c r="B57" s="215" t="str">
        <f>IF(LEN(A57)=0,"",INDEX('Smelter Look-up'!$A:$A,MATCH($A57,'Smelter Look-up'!$E:$E,0)))</f>
        <v/>
      </c>
      <c r="C57" s="219" t="str">
        <f>IF(LEN(A57)=0,"",INDEX('Smelter Look-up'!$C:$C,MATCH($A57,'Smelter Look-up'!$E:$E,0)))</f>
        <v/>
      </c>
      <c r="D57" s="278"/>
      <c r="E57" s="215" t="str">
        <f ca="1">IF(ISERROR($V57),"",OFFSET('Smelter Look-up'!$D$4,$V57-4,0)&amp;"")</f>
        <v/>
      </c>
      <c r="F57" s="215" t="str">
        <f ca="1">IF(ISERROR($V57),"",OFFSET('Smelter Look-up'!$E$4,$V57-4,0))</f>
        <v/>
      </c>
      <c r="G57" s="215" t="str">
        <f ca="1">IF(C57=$X$4,"Enter smelter details",IF(ISERROR($V57),"",OFFSET('Smelter Look-up'!$F$4,$V57-4,0)))</f>
        <v/>
      </c>
      <c r="H57" s="216" t="str">
        <f ca="1">IF(ISERROR($V57),"",OFFSET('Smelter Look-up'!$G$4,$V57-4,0))</f>
        <v/>
      </c>
      <c r="I57" s="217" t="str">
        <f ca="1">IF(ISERROR($V57),"",OFFSET('Smelter Look-up'!$H$4,$V57-4,0))</f>
        <v/>
      </c>
      <c r="J57" s="217" t="str">
        <f ca="1">IF(ISERROR($V57),"",OFFSET('Smelter Look-up'!$I$4,$V57-4,0))</f>
        <v/>
      </c>
      <c r="K57" s="268"/>
      <c r="L57" s="268"/>
      <c r="M57" s="268"/>
      <c r="N57" s="268"/>
      <c r="O57" s="268"/>
      <c r="P57" s="218"/>
      <c r="Q57" s="269"/>
      <c r="R57" s="215" t="str">
        <f ca="1">IF(ISERROR($V57),"",OFFSET('Smelter Look-up'!$C$4,$V57-4,0)&amp;"")</f>
        <v/>
      </c>
      <c r="S57" s="222" t="str">
        <f t="shared" ca="1" si="6"/>
        <v/>
      </c>
      <c r="T57" s="222" t="str">
        <f ca="1">IF(B57="","",IF(ISERROR(MATCH($J57,SorP!$B$1:$B$6230,0)),"",INDIRECT("'SorP'!$A$"&amp;MATCH($J57,SorP!$B$1:$B$6230,0))))</f>
        <v/>
      </c>
      <c r="U57" s="238"/>
      <c r="V57" s="270" t="e">
        <f>IF(C57="",NA(),MATCH($B57&amp;$C57,'Smelter Look-up'!$J:$J,0))</f>
        <v>#N/A</v>
      </c>
      <c r="W57" s="271"/>
      <c r="X57" s="271">
        <f t="shared" ca="1" si="7"/>
        <v>0</v>
      </c>
      <c r="Y57" s="271"/>
      <c r="Z57" s="271"/>
      <c r="AB57" s="273" t="str">
        <f t="shared" si="8"/>
        <v/>
      </c>
    </row>
    <row r="58" spans="1:28" s="272" customFormat="1" ht="20.399999999999999">
      <c r="A58" s="214"/>
      <c r="B58" s="215" t="str">
        <f>IF(LEN(A58)=0,"",INDEX('Smelter Look-up'!$A:$A,MATCH($A58,'Smelter Look-up'!$E:$E,0)))</f>
        <v/>
      </c>
      <c r="C58" s="219" t="str">
        <f>IF(LEN(A58)=0,"",INDEX('Smelter Look-up'!$C:$C,MATCH($A58,'Smelter Look-up'!$E:$E,0)))</f>
        <v/>
      </c>
      <c r="D58" s="278"/>
      <c r="E58" s="215" t="str">
        <f ca="1">IF(ISERROR($V58),"",OFFSET('Smelter Look-up'!$D$4,$V58-4,0)&amp;"")</f>
        <v/>
      </c>
      <c r="F58" s="215" t="str">
        <f ca="1">IF(ISERROR($V58),"",OFFSET('Smelter Look-up'!$E$4,$V58-4,0))</f>
        <v/>
      </c>
      <c r="G58" s="215" t="str">
        <f ca="1">IF(C58=$X$4,"Enter smelter details",IF(ISERROR($V58),"",OFFSET('Smelter Look-up'!$F$4,$V58-4,0)))</f>
        <v/>
      </c>
      <c r="H58" s="216" t="str">
        <f ca="1">IF(ISERROR($V58),"",OFFSET('Smelter Look-up'!$G$4,$V58-4,0))</f>
        <v/>
      </c>
      <c r="I58" s="217" t="str">
        <f ca="1">IF(ISERROR($V58),"",OFFSET('Smelter Look-up'!$H$4,$V58-4,0))</f>
        <v/>
      </c>
      <c r="J58" s="217" t="str">
        <f ca="1">IF(ISERROR($V58),"",OFFSET('Smelter Look-up'!$I$4,$V58-4,0))</f>
        <v/>
      </c>
      <c r="K58" s="268"/>
      <c r="L58" s="268"/>
      <c r="M58" s="268"/>
      <c r="N58" s="268"/>
      <c r="O58" s="268"/>
      <c r="P58" s="218"/>
      <c r="Q58" s="269"/>
      <c r="R58" s="215" t="str">
        <f ca="1">IF(ISERROR($V58),"",OFFSET('Smelter Look-up'!$C$4,$V58-4,0)&amp;"")</f>
        <v/>
      </c>
      <c r="S58" s="222" t="str">
        <f t="shared" ca="1" si="6"/>
        <v/>
      </c>
      <c r="T58" s="222" t="str">
        <f ca="1">IF(B58="","",IF(ISERROR(MATCH($J58,SorP!$B$1:$B$6230,0)),"",INDIRECT("'SorP'!$A$"&amp;MATCH($J58,SorP!$B$1:$B$6230,0))))</f>
        <v/>
      </c>
      <c r="U58" s="238"/>
      <c r="V58" s="270" t="e">
        <f>IF(C58="",NA(),MATCH($B58&amp;$C58,'Smelter Look-up'!$J:$J,0))</f>
        <v>#N/A</v>
      </c>
      <c r="W58" s="271"/>
      <c r="X58" s="271">
        <f t="shared" ca="1" si="7"/>
        <v>0</v>
      </c>
      <c r="Y58" s="271"/>
      <c r="Z58" s="271"/>
      <c r="AB58" s="273" t="str">
        <f t="shared" si="8"/>
        <v/>
      </c>
    </row>
    <row r="59" spans="1:28" s="272" customFormat="1" ht="20.399999999999999">
      <c r="A59" s="214"/>
      <c r="B59" s="215" t="str">
        <f>IF(LEN(A59)=0,"",INDEX('Smelter Look-up'!$A:$A,MATCH($A59,'Smelter Look-up'!$E:$E,0)))</f>
        <v/>
      </c>
      <c r="C59" s="219" t="str">
        <f>IF(LEN(A59)=0,"",INDEX('Smelter Look-up'!$C:$C,MATCH($A59,'Smelter Look-up'!$E:$E,0)))</f>
        <v/>
      </c>
      <c r="D59" s="278"/>
      <c r="E59" s="215" t="str">
        <f ca="1">IF(ISERROR($V59),"",OFFSET('Smelter Look-up'!$D$4,$V59-4,0)&amp;"")</f>
        <v/>
      </c>
      <c r="F59" s="215" t="str">
        <f ca="1">IF(ISERROR($V59),"",OFFSET('Smelter Look-up'!$E$4,$V59-4,0))</f>
        <v/>
      </c>
      <c r="G59" s="215" t="str">
        <f ca="1">IF(C59=$X$4,"Enter smelter details",IF(ISERROR($V59),"",OFFSET('Smelter Look-up'!$F$4,$V59-4,0)))</f>
        <v/>
      </c>
      <c r="H59" s="216" t="str">
        <f ca="1">IF(ISERROR($V59),"",OFFSET('Smelter Look-up'!$G$4,$V59-4,0))</f>
        <v/>
      </c>
      <c r="I59" s="217" t="str">
        <f ca="1">IF(ISERROR($V59),"",OFFSET('Smelter Look-up'!$H$4,$V59-4,0))</f>
        <v/>
      </c>
      <c r="J59" s="217" t="str">
        <f ca="1">IF(ISERROR($V59),"",OFFSET('Smelter Look-up'!$I$4,$V59-4,0))</f>
        <v/>
      </c>
      <c r="K59" s="268"/>
      <c r="L59" s="268"/>
      <c r="M59" s="268"/>
      <c r="N59" s="268"/>
      <c r="O59" s="268"/>
      <c r="P59" s="218"/>
      <c r="Q59" s="269"/>
      <c r="R59" s="215" t="str">
        <f ca="1">IF(ISERROR($V59),"",OFFSET('Smelter Look-up'!$C$4,$V59-4,0)&amp;"")</f>
        <v/>
      </c>
      <c r="S59" s="222" t="str">
        <f t="shared" ca="1" si="6"/>
        <v/>
      </c>
      <c r="T59" s="222" t="str">
        <f ca="1">IF(B59="","",IF(ISERROR(MATCH($J59,SorP!$B$1:$B$6230,0)),"",INDIRECT("'SorP'!$A$"&amp;MATCH($J59,SorP!$B$1:$B$6230,0))))</f>
        <v/>
      </c>
      <c r="U59" s="238"/>
      <c r="V59" s="270" t="e">
        <f>IF(C59="",NA(),MATCH($B59&amp;$C59,'Smelter Look-up'!$J:$J,0))</f>
        <v>#N/A</v>
      </c>
      <c r="W59" s="271"/>
      <c r="X59" s="271">
        <f t="shared" ca="1" si="7"/>
        <v>0</v>
      </c>
      <c r="Y59" s="271"/>
      <c r="Z59" s="271"/>
      <c r="AB59" s="273" t="str">
        <f t="shared" si="8"/>
        <v/>
      </c>
    </row>
    <row r="60" spans="1:28" s="272" customFormat="1" ht="20.399999999999999">
      <c r="A60" s="214"/>
      <c r="B60" s="215" t="str">
        <f>IF(LEN(A60)=0,"",INDEX('Smelter Look-up'!$A:$A,MATCH($A60,'Smelter Look-up'!$E:$E,0)))</f>
        <v/>
      </c>
      <c r="C60" s="219" t="str">
        <f>IF(LEN(A60)=0,"",INDEX('Smelter Look-up'!$C:$C,MATCH($A60,'Smelter Look-up'!$E:$E,0)))</f>
        <v/>
      </c>
      <c r="D60" s="278"/>
      <c r="E60" s="215" t="str">
        <f ca="1">IF(ISERROR($V60),"",OFFSET('Smelter Look-up'!$D$4,$V60-4,0)&amp;"")</f>
        <v/>
      </c>
      <c r="F60" s="215" t="str">
        <f ca="1">IF(ISERROR($V60),"",OFFSET('Smelter Look-up'!$E$4,$V60-4,0))</f>
        <v/>
      </c>
      <c r="G60" s="215" t="str">
        <f ca="1">IF(C60=$X$4,"Enter smelter details",IF(ISERROR($V60),"",OFFSET('Smelter Look-up'!$F$4,$V60-4,0)))</f>
        <v/>
      </c>
      <c r="H60" s="216" t="str">
        <f ca="1">IF(ISERROR($V60),"",OFFSET('Smelter Look-up'!$G$4,$V60-4,0))</f>
        <v/>
      </c>
      <c r="I60" s="217" t="str">
        <f ca="1">IF(ISERROR($V60),"",OFFSET('Smelter Look-up'!$H$4,$V60-4,0))</f>
        <v/>
      </c>
      <c r="J60" s="217" t="str">
        <f ca="1">IF(ISERROR($V60),"",OFFSET('Smelter Look-up'!$I$4,$V60-4,0))</f>
        <v/>
      </c>
      <c r="K60" s="268"/>
      <c r="L60" s="268"/>
      <c r="M60" s="268"/>
      <c r="N60" s="268"/>
      <c r="O60" s="268"/>
      <c r="P60" s="218"/>
      <c r="Q60" s="269"/>
      <c r="R60" s="215" t="str">
        <f ca="1">IF(ISERROR($V60),"",OFFSET('Smelter Look-up'!$C$4,$V60-4,0)&amp;"")</f>
        <v/>
      </c>
      <c r="S60" s="222" t="str">
        <f t="shared" ca="1" si="6"/>
        <v/>
      </c>
      <c r="T60" s="222" t="str">
        <f ca="1">IF(B60="","",IF(ISERROR(MATCH($J60,SorP!$B$1:$B$6230,0)),"",INDIRECT("'SorP'!$A$"&amp;MATCH($J60,SorP!$B$1:$B$6230,0))))</f>
        <v/>
      </c>
      <c r="U60" s="238"/>
      <c r="V60" s="270" t="e">
        <f>IF(C60="",NA(),MATCH($B60&amp;$C60,'Smelter Look-up'!$J:$J,0))</f>
        <v>#N/A</v>
      </c>
      <c r="W60" s="271"/>
      <c r="X60" s="271">
        <f t="shared" ca="1" si="7"/>
        <v>0</v>
      </c>
      <c r="Y60" s="271"/>
      <c r="Z60" s="271"/>
      <c r="AB60" s="273" t="str">
        <f t="shared" si="8"/>
        <v/>
      </c>
    </row>
    <row r="61" spans="1:28" s="272" customFormat="1" ht="20.399999999999999">
      <c r="A61" s="214"/>
      <c r="B61" s="215" t="str">
        <f>IF(LEN(A61)=0,"",INDEX('Smelter Look-up'!$A:$A,MATCH($A61,'Smelter Look-up'!$E:$E,0)))</f>
        <v/>
      </c>
      <c r="C61" s="219" t="str">
        <f>IF(LEN(A61)=0,"",INDEX('Smelter Look-up'!$C:$C,MATCH($A61,'Smelter Look-up'!$E:$E,0)))</f>
        <v/>
      </c>
      <c r="D61" s="278"/>
      <c r="E61" s="215" t="str">
        <f ca="1">IF(ISERROR($V61),"",OFFSET('Smelter Look-up'!$D$4,$V61-4,0)&amp;"")</f>
        <v/>
      </c>
      <c r="F61" s="215" t="str">
        <f ca="1">IF(ISERROR($V61),"",OFFSET('Smelter Look-up'!$E$4,$V61-4,0))</f>
        <v/>
      </c>
      <c r="G61" s="215" t="str">
        <f ca="1">IF(C61=$X$4,"Enter smelter details",IF(ISERROR($V61),"",OFFSET('Smelter Look-up'!$F$4,$V61-4,0)))</f>
        <v/>
      </c>
      <c r="H61" s="216" t="str">
        <f ca="1">IF(ISERROR($V61),"",OFFSET('Smelter Look-up'!$G$4,$V61-4,0))</f>
        <v/>
      </c>
      <c r="I61" s="217" t="str">
        <f ca="1">IF(ISERROR($V61),"",OFFSET('Smelter Look-up'!$H$4,$V61-4,0))</f>
        <v/>
      </c>
      <c r="J61" s="217" t="str">
        <f ca="1">IF(ISERROR($V61),"",OFFSET('Smelter Look-up'!$I$4,$V61-4,0))</f>
        <v/>
      </c>
      <c r="K61" s="268"/>
      <c r="L61" s="268"/>
      <c r="M61" s="268"/>
      <c r="N61" s="268"/>
      <c r="O61" s="268"/>
      <c r="P61" s="218"/>
      <c r="Q61" s="269"/>
      <c r="R61" s="215" t="str">
        <f ca="1">IF(ISERROR($V61),"",OFFSET('Smelter Look-up'!$C$4,$V61-4,0)&amp;"")</f>
        <v/>
      </c>
      <c r="S61" s="222" t="str">
        <f t="shared" ca="1" si="6"/>
        <v/>
      </c>
      <c r="T61" s="222" t="str">
        <f ca="1">IF(B61="","",IF(ISERROR(MATCH($J61,SorP!$B$1:$B$6230,0)),"",INDIRECT("'SorP'!$A$"&amp;MATCH($J61,SorP!$B$1:$B$6230,0))))</f>
        <v/>
      </c>
      <c r="U61" s="238"/>
      <c r="V61" s="270" t="e">
        <f>IF(C61="",NA(),MATCH($B61&amp;$C61,'Smelter Look-up'!$J:$J,0))</f>
        <v>#N/A</v>
      </c>
      <c r="W61" s="271"/>
      <c r="X61" s="271">
        <f t="shared" ca="1" si="7"/>
        <v>0</v>
      </c>
      <c r="Y61" s="271"/>
      <c r="Z61" s="271"/>
      <c r="AB61" s="273" t="str">
        <f t="shared" si="8"/>
        <v/>
      </c>
    </row>
    <row r="62" spans="1:28" s="272" customFormat="1" ht="20.399999999999999">
      <c r="A62" s="214"/>
      <c r="B62" s="215" t="str">
        <f>IF(LEN(A62)=0,"",INDEX('Smelter Look-up'!$A:$A,MATCH($A62,'Smelter Look-up'!$E:$E,0)))</f>
        <v/>
      </c>
      <c r="C62" s="219" t="str">
        <f>IF(LEN(A62)=0,"",INDEX('Smelter Look-up'!$C:$C,MATCH($A62,'Smelter Look-up'!$E:$E,0)))</f>
        <v/>
      </c>
      <c r="D62" s="278"/>
      <c r="E62" s="215" t="str">
        <f ca="1">IF(ISERROR($V62),"",OFFSET('Smelter Look-up'!$D$4,$V62-4,0)&amp;"")</f>
        <v/>
      </c>
      <c r="F62" s="215" t="str">
        <f ca="1">IF(ISERROR($V62),"",OFFSET('Smelter Look-up'!$E$4,$V62-4,0))</f>
        <v/>
      </c>
      <c r="G62" s="215" t="str">
        <f ca="1">IF(C62=$X$4,"Enter smelter details",IF(ISERROR($V62),"",OFFSET('Smelter Look-up'!$F$4,$V62-4,0)))</f>
        <v/>
      </c>
      <c r="H62" s="216" t="str">
        <f ca="1">IF(ISERROR($V62),"",OFFSET('Smelter Look-up'!$G$4,$V62-4,0))</f>
        <v/>
      </c>
      <c r="I62" s="217" t="str">
        <f ca="1">IF(ISERROR($V62),"",OFFSET('Smelter Look-up'!$H$4,$V62-4,0))</f>
        <v/>
      </c>
      <c r="J62" s="217" t="str">
        <f ca="1">IF(ISERROR($V62),"",OFFSET('Smelter Look-up'!$I$4,$V62-4,0))</f>
        <v/>
      </c>
      <c r="K62" s="268"/>
      <c r="L62" s="268"/>
      <c r="M62" s="268"/>
      <c r="N62" s="268"/>
      <c r="O62" s="268"/>
      <c r="P62" s="218"/>
      <c r="Q62" s="269"/>
      <c r="R62" s="215" t="str">
        <f ca="1">IF(ISERROR($V62),"",OFFSET('Smelter Look-up'!$C$4,$V62-4,0)&amp;"")</f>
        <v/>
      </c>
      <c r="S62" s="222" t="str">
        <f t="shared" ca="1" si="6"/>
        <v/>
      </c>
      <c r="T62" s="222" t="str">
        <f ca="1">IF(B62="","",IF(ISERROR(MATCH($J62,SorP!$B$1:$B$6230,0)),"",INDIRECT("'SorP'!$A$"&amp;MATCH($J62,SorP!$B$1:$B$6230,0))))</f>
        <v/>
      </c>
      <c r="U62" s="238"/>
      <c r="V62" s="270" t="e">
        <f>IF(C62="",NA(),MATCH($B62&amp;$C62,'Smelter Look-up'!$J:$J,0))</f>
        <v>#N/A</v>
      </c>
      <c r="W62" s="271"/>
      <c r="X62" s="271">
        <f t="shared" ca="1" si="7"/>
        <v>0</v>
      </c>
      <c r="Y62" s="271"/>
      <c r="Z62" s="271"/>
      <c r="AB62" s="273" t="str">
        <f t="shared" si="8"/>
        <v/>
      </c>
    </row>
    <row r="63" spans="1:28" s="272" customFormat="1" ht="20.399999999999999">
      <c r="A63" s="214"/>
      <c r="B63" s="215" t="str">
        <f>IF(LEN(A63)=0,"",INDEX('Smelter Look-up'!$A:$A,MATCH($A63,'Smelter Look-up'!$E:$E,0)))</f>
        <v/>
      </c>
      <c r="C63" s="219" t="str">
        <f>IF(LEN(A63)=0,"",INDEX('Smelter Look-up'!$C:$C,MATCH($A63,'Smelter Look-up'!$E:$E,0)))</f>
        <v/>
      </c>
      <c r="D63" s="278"/>
      <c r="E63" s="215" t="str">
        <f ca="1">IF(ISERROR($V63),"",OFFSET('Smelter Look-up'!$D$4,$V63-4,0)&amp;"")</f>
        <v/>
      </c>
      <c r="F63" s="215" t="str">
        <f ca="1">IF(ISERROR($V63),"",OFFSET('Smelter Look-up'!$E$4,$V63-4,0))</f>
        <v/>
      </c>
      <c r="G63" s="215" t="str">
        <f ca="1">IF(C63=$X$4,"Enter smelter details",IF(ISERROR($V63),"",OFFSET('Smelter Look-up'!$F$4,$V63-4,0)))</f>
        <v/>
      </c>
      <c r="H63" s="216" t="str">
        <f ca="1">IF(ISERROR($V63),"",OFFSET('Smelter Look-up'!$G$4,$V63-4,0))</f>
        <v/>
      </c>
      <c r="I63" s="217" t="str">
        <f ca="1">IF(ISERROR($V63),"",OFFSET('Smelter Look-up'!$H$4,$V63-4,0))</f>
        <v/>
      </c>
      <c r="J63" s="217" t="str">
        <f ca="1">IF(ISERROR($V63),"",OFFSET('Smelter Look-up'!$I$4,$V63-4,0))</f>
        <v/>
      </c>
      <c r="K63" s="268"/>
      <c r="L63" s="268"/>
      <c r="M63" s="268"/>
      <c r="N63" s="268"/>
      <c r="O63" s="268"/>
      <c r="P63" s="218"/>
      <c r="Q63" s="269"/>
      <c r="R63" s="215" t="str">
        <f ca="1">IF(ISERROR($V63),"",OFFSET('Smelter Look-up'!$C$4,$V63-4,0)&amp;"")</f>
        <v/>
      </c>
      <c r="S63" s="222" t="str">
        <f t="shared" ca="1" si="6"/>
        <v/>
      </c>
      <c r="T63" s="222" t="str">
        <f ca="1">IF(B63="","",IF(ISERROR(MATCH($J63,SorP!$B$1:$B$6230,0)),"",INDIRECT("'SorP'!$A$"&amp;MATCH($J63,SorP!$B$1:$B$6230,0))))</f>
        <v/>
      </c>
      <c r="U63" s="238"/>
      <c r="V63" s="270" t="e">
        <f>IF(C63="",NA(),MATCH($B63&amp;$C63,'Smelter Look-up'!$J:$J,0))</f>
        <v>#N/A</v>
      </c>
      <c r="W63" s="271"/>
      <c r="X63" s="271">
        <f t="shared" ca="1" si="7"/>
        <v>0</v>
      </c>
      <c r="Y63" s="271"/>
      <c r="Z63" s="271"/>
      <c r="AB63" s="273" t="str">
        <f t="shared" si="8"/>
        <v/>
      </c>
    </row>
    <row r="64" spans="1:28" s="272" customFormat="1" ht="20.399999999999999">
      <c r="A64" s="214"/>
      <c r="B64" s="215" t="str">
        <f>IF(LEN(A64)=0,"",INDEX('Smelter Look-up'!$A:$A,MATCH($A64,'Smelter Look-up'!$E:$E,0)))</f>
        <v/>
      </c>
      <c r="C64" s="219" t="str">
        <f>IF(LEN(A64)=0,"",INDEX('Smelter Look-up'!$C:$C,MATCH($A64,'Smelter Look-up'!$E:$E,0)))</f>
        <v/>
      </c>
      <c r="D64" s="278"/>
      <c r="E64" s="215" t="str">
        <f ca="1">IF(ISERROR($V64),"",OFFSET('Smelter Look-up'!$D$4,$V64-4,0)&amp;"")</f>
        <v/>
      </c>
      <c r="F64" s="215" t="str">
        <f ca="1">IF(ISERROR($V64),"",OFFSET('Smelter Look-up'!$E$4,$V64-4,0))</f>
        <v/>
      </c>
      <c r="G64" s="215" t="str">
        <f ca="1">IF(C64=$X$4,"Enter smelter details",IF(ISERROR($V64),"",OFFSET('Smelter Look-up'!$F$4,$V64-4,0)))</f>
        <v/>
      </c>
      <c r="H64" s="216" t="str">
        <f ca="1">IF(ISERROR($V64),"",OFFSET('Smelter Look-up'!$G$4,$V64-4,0))</f>
        <v/>
      </c>
      <c r="I64" s="217" t="str">
        <f ca="1">IF(ISERROR($V64),"",OFFSET('Smelter Look-up'!$H$4,$V64-4,0))</f>
        <v/>
      </c>
      <c r="J64" s="217" t="str">
        <f ca="1">IF(ISERROR($V64),"",OFFSET('Smelter Look-up'!$I$4,$V64-4,0))</f>
        <v/>
      </c>
      <c r="K64" s="268"/>
      <c r="L64" s="268"/>
      <c r="M64" s="268"/>
      <c r="N64" s="268"/>
      <c r="O64" s="268"/>
      <c r="P64" s="218"/>
      <c r="Q64" s="269"/>
      <c r="R64" s="215" t="str">
        <f ca="1">IF(ISERROR($V64),"",OFFSET('Smelter Look-up'!$C$4,$V64-4,0)&amp;"")</f>
        <v/>
      </c>
      <c r="S64" s="222" t="str">
        <f t="shared" ca="1" si="6"/>
        <v/>
      </c>
      <c r="T64" s="222" t="str">
        <f ca="1">IF(B64="","",IF(ISERROR(MATCH($J64,SorP!$B$1:$B$6230,0)),"",INDIRECT("'SorP'!$A$"&amp;MATCH($J64,SorP!$B$1:$B$6230,0))))</f>
        <v/>
      </c>
      <c r="U64" s="238"/>
      <c r="V64" s="270" t="e">
        <f>IF(C64="",NA(),MATCH($B64&amp;$C64,'Smelter Look-up'!$J:$J,0))</f>
        <v>#N/A</v>
      </c>
      <c r="W64" s="271"/>
      <c r="X64" s="271">
        <f t="shared" ca="1" si="7"/>
        <v>0</v>
      </c>
      <c r="Y64" s="271"/>
      <c r="Z64" s="271"/>
      <c r="AB64" s="273" t="str">
        <f t="shared" si="8"/>
        <v/>
      </c>
    </row>
    <row r="65" spans="1:28" s="272" customFormat="1" ht="20.399999999999999">
      <c r="A65" s="214"/>
      <c r="B65" s="215" t="str">
        <f>IF(LEN(A65)=0,"",INDEX('Smelter Look-up'!$A:$A,MATCH($A65,'Smelter Look-up'!$E:$E,0)))</f>
        <v/>
      </c>
      <c r="C65" s="219" t="str">
        <f>IF(LEN(A65)=0,"",INDEX('Smelter Look-up'!$C:$C,MATCH($A65,'Smelter Look-up'!$E:$E,0)))</f>
        <v/>
      </c>
      <c r="D65" s="278"/>
      <c r="E65" s="215" t="str">
        <f ca="1">IF(ISERROR($V65),"",OFFSET('Smelter Look-up'!$D$4,$V65-4,0)&amp;"")</f>
        <v/>
      </c>
      <c r="F65" s="215" t="str">
        <f ca="1">IF(ISERROR($V65),"",OFFSET('Smelter Look-up'!$E$4,$V65-4,0))</f>
        <v/>
      </c>
      <c r="G65" s="215" t="str">
        <f ca="1">IF(C65=$X$4,"Enter smelter details",IF(ISERROR($V65),"",OFFSET('Smelter Look-up'!$F$4,$V65-4,0)))</f>
        <v/>
      </c>
      <c r="H65" s="216" t="str">
        <f ca="1">IF(ISERROR($V65),"",OFFSET('Smelter Look-up'!$G$4,$V65-4,0))</f>
        <v/>
      </c>
      <c r="I65" s="217" t="str">
        <f ca="1">IF(ISERROR($V65),"",OFFSET('Smelter Look-up'!$H$4,$V65-4,0))</f>
        <v/>
      </c>
      <c r="J65" s="217" t="str">
        <f ca="1">IF(ISERROR($V65),"",OFFSET('Smelter Look-up'!$I$4,$V65-4,0))</f>
        <v/>
      </c>
      <c r="K65" s="268"/>
      <c r="L65" s="268"/>
      <c r="M65" s="268"/>
      <c r="N65" s="268"/>
      <c r="O65" s="268"/>
      <c r="P65" s="218"/>
      <c r="Q65" s="269"/>
      <c r="R65" s="215" t="str">
        <f ca="1">IF(ISERROR($V65),"",OFFSET('Smelter Look-up'!$C$4,$V65-4,0)&amp;"")</f>
        <v/>
      </c>
      <c r="S65" s="222" t="str">
        <f t="shared" ca="1" si="6"/>
        <v/>
      </c>
      <c r="T65" s="222" t="str">
        <f ca="1">IF(B65="","",IF(ISERROR(MATCH($J65,SorP!$B$1:$B$6230,0)),"",INDIRECT("'SorP'!$A$"&amp;MATCH($J65,SorP!$B$1:$B$6230,0))))</f>
        <v/>
      </c>
      <c r="U65" s="238"/>
      <c r="V65" s="270" t="e">
        <f>IF(C65="",NA(),MATCH($B65&amp;$C65,'Smelter Look-up'!$J:$J,0))</f>
        <v>#N/A</v>
      </c>
      <c r="W65" s="271"/>
      <c r="X65" s="271">
        <f t="shared" ca="1" si="7"/>
        <v>0</v>
      </c>
      <c r="Y65" s="271"/>
      <c r="Z65" s="271"/>
      <c r="AB65" s="273" t="str">
        <f t="shared" si="8"/>
        <v/>
      </c>
    </row>
    <row r="66" spans="1:28" s="272" customFormat="1" ht="20.399999999999999">
      <c r="A66" s="214"/>
      <c r="B66" s="215" t="str">
        <f>IF(LEN(A66)=0,"",INDEX('Smelter Look-up'!$A:$A,MATCH($A66,'Smelter Look-up'!$E:$E,0)))</f>
        <v/>
      </c>
      <c r="C66" s="219" t="str">
        <f>IF(LEN(A66)=0,"",INDEX('Smelter Look-up'!$C:$C,MATCH($A66,'Smelter Look-up'!$E:$E,0)))</f>
        <v/>
      </c>
      <c r="D66" s="278"/>
      <c r="E66" s="215" t="str">
        <f ca="1">IF(ISERROR($V66),"",OFFSET('Smelter Look-up'!$D$4,$V66-4,0)&amp;"")</f>
        <v/>
      </c>
      <c r="F66" s="215" t="str">
        <f ca="1">IF(ISERROR($V66),"",OFFSET('Smelter Look-up'!$E$4,$V66-4,0))</f>
        <v/>
      </c>
      <c r="G66" s="215" t="str">
        <f ca="1">IF(C66=$X$4,"Enter smelter details",IF(ISERROR($V66),"",OFFSET('Smelter Look-up'!$F$4,$V66-4,0)))</f>
        <v/>
      </c>
      <c r="H66" s="216" t="str">
        <f ca="1">IF(ISERROR($V66),"",OFFSET('Smelter Look-up'!$G$4,$V66-4,0))</f>
        <v/>
      </c>
      <c r="I66" s="217" t="str">
        <f ca="1">IF(ISERROR($V66),"",OFFSET('Smelter Look-up'!$H$4,$V66-4,0))</f>
        <v/>
      </c>
      <c r="J66" s="217" t="str">
        <f ca="1">IF(ISERROR($V66),"",OFFSET('Smelter Look-up'!$I$4,$V66-4,0))</f>
        <v/>
      </c>
      <c r="K66" s="268"/>
      <c r="L66" s="268"/>
      <c r="M66" s="268"/>
      <c r="N66" s="268"/>
      <c r="O66" s="268"/>
      <c r="P66" s="218"/>
      <c r="Q66" s="269"/>
      <c r="R66" s="215" t="str">
        <f ca="1">IF(ISERROR($V66),"",OFFSET('Smelter Look-up'!$C$4,$V66-4,0)&amp;"")</f>
        <v/>
      </c>
      <c r="S66" s="222" t="str">
        <f t="shared" ca="1" si="6"/>
        <v/>
      </c>
      <c r="T66" s="222" t="str">
        <f ca="1">IF(B66="","",IF(ISERROR(MATCH($J66,SorP!$B$1:$B$6230,0)),"",INDIRECT("'SorP'!$A$"&amp;MATCH($J66,SorP!$B$1:$B$6230,0))))</f>
        <v/>
      </c>
      <c r="U66" s="238"/>
      <c r="V66" s="270" t="e">
        <f>IF(C66="",NA(),MATCH($B66&amp;$C66,'Smelter Look-up'!$J:$J,0))</f>
        <v>#N/A</v>
      </c>
      <c r="W66" s="271"/>
      <c r="X66" s="271">
        <f t="shared" ca="1" si="7"/>
        <v>0</v>
      </c>
      <c r="Y66" s="271"/>
      <c r="Z66" s="271"/>
      <c r="AB66" s="273" t="str">
        <f t="shared" si="8"/>
        <v/>
      </c>
    </row>
    <row r="67" spans="1:28" s="272" customFormat="1" ht="20.399999999999999">
      <c r="A67" s="214"/>
      <c r="B67" s="215" t="str">
        <f>IF(LEN(A67)=0,"",INDEX('Smelter Look-up'!$A:$A,MATCH($A67,'Smelter Look-up'!$E:$E,0)))</f>
        <v/>
      </c>
      <c r="C67" s="219" t="str">
        <f>IF(LEN(A67)=0,"",INDEX('Smelter Look-up'!$C:$C,MATCH($A67,'Smelter Look-up'!$E:$E,0)))</f>
        <v/>
      </c>
      <c r="D67" s="278"/>
      <c r="E67" s="215" t="str">
        <f ca="1">IF(ISERROR($V67),"",OFFSET('Smelter Look-up'!$D$4,$V67-4,0)&amp;"")</f>
        <v/>
      </c>
      <c r="F67" s="215" t="str">
        <f ca="1">IF(ISERROR($V67),"",OFFSET('Smelter Look-up'!$E$4,$V67-4,0))</f>
        <v/>
      </c>
      <c r="G67" s="215" t="str">
        <f ca="1">IF(C67=$X$4,"Enter smelter details",IF(ISERROR($V67),"",OFFSET('Smelter Look-up'!$F$4,$V67-4,0)))</f>
        <v/>
      </c>
      <c r="H67" s="216" t="str">
        <f ca="1">IF(ISERROR($V67),"",OFFSET('Smelter Look-up'!$G$4,$V67-4,0))</f>
        <v/>
      </c>
      <c r="I67" s="217" t="str">
        <f ca="1">IF(ISERROR($V67),"",OFFSET('Smelter Look-up'!$H$4,$V67-4,0))</f>
        <v/>
      </c>
      <c r="J67" s="217" t="str">
        <f ca="1">IF(ISERROR($V67),"",OFFSET('Smelter Look-up'!$I$4,$V67-4,0))</f>
        <v/>
      </c>
      <c r="K67" s="268"/>
      <c r="L67" s="268"/>
      <c r="M67" s="268"/>
      <c r="N67" s="268"/>
      <c r="O67" s="268"/>
      <c r="P67" s="218"/>
      <c r="Q67" s="269"/>
      <c r="R67" s="215" t="str">
        <f ca="1">IF(ISERROR($V67),"",OFFSET('Smelter Look-up'!$C$4,$V67-4,0)&amp;"")</f>
        <v/>
      </c>
      <c r="S67" s="222" t="str">
        <f t="shared" ca="1" si="6"/>
        <v/>
      </c>
      <c r="T67" s="222" t="str">
        <f ca="1">IF(B67="","",IF(ISERROR(MATCH($J67,SorP!$B$1:$B$6230,0)),"",INDIRECT("'SorP'!$A$"&amp;MATCH($J67,SorP!$B$1:$B$6230,0))))</f>
        <v/>
      </c>
      <c r="U67" s="238"/>
      <c r="V67" s="270" t="e">
        <f>IF(C67="",NA(),MATCH($B67&amp;$C67,'Smelter Look-up'!$J:$J,0))</f>
        <v>#N/A</v>
      </c>
      <c r="W67" s="271"/>
      <c r="X67" s="271">
        <f t="shared" ca="1" si="7"/>
        <v>0</v>
      </c>
      <c r="Y67" s="271"/>
      <c r="Z67" s="271"/>
      <c r="AB67" s="273" t="str">
        <f t="shared" si="8"/>
        <v/>
      </c>
    </row>
    <row r="68" spans="1:28" s="272" customFormat="1" ht="20.399999999999999">
      <c r="A68" s="214"/>
      <c r="B68" s="215" t="str">
        <f>IF(LEN(A68)=0,"",INDEX('Smelter Look-up'!$A:$A,MATCH($A68,'Smelter Look-up'!$E:$E,0)))</f>
        <v/>
      </c>
      <c r="C68" s="219" t="str">
        <f>IF(LEN(A68)=0,"",INDEX('Smelter Look-up'!$C:$C,MATCH($A68,'Smelter Look-up'!$E:$E,0)))</f>
        <v/>
      </c>
      <c r="D68" s="278"/>
      <c r="E68" s="215" t="str">
        <f ca="1">IF(ISERROR($V68),"",OFFSET('Smelter Look-up'!$D$4,$V68-4,0)&amp;"")</f>
        <v/>
      </c>
      <c r="F68" s="215" t="str">
        <f ca="1">IF(ISERROR($V68),"",OFFSET('Smelter Look-up'!$E$4,$V68-4,0))</f>
        <v/>
      </c>
      <c r="G68" s="215" t="str">
        <f ca="1">IF(C68=$X$4,"Enter smelter details",IF(ISERROR($V68),"",OFFSET('Smelter Look-up'!$F$4,$V68-4,0)))</f>
        <v/>
      </c>
      <c r="H68" s="216" t="str">
        <f ca="1">IF(ISERROR($V68),"",OFFSET('Smelter Look-up'!$G$4,$V68-4,0))</f>
        <v/>
      </c>
      <c r="I68" s="217" t="str">
        <f ca="1">IF(ISERROR($V68),"",OFFSET('Smelter Look-up'!$H$4,$V68-4,0))</f>
        <v/>
      </c>
      <c r="J68" s="217" t="str">
        <f ca="1">IF(ISERROR($V68),"",OFFSET('Smelter Look-up'!$I$4,$V68-4,0))</f>
        <v/>
      </c>
      <c r="K68" s="268"/>
      <c r="L68" s="268"/>
      <c r="M68" s="268"/>
      <c r="N68" s="268"/>
      <c r="O68" s="268"/>
      <c r="P68" s="218"/>
      <c r="Q68" s="269"/>
      <c r="R68" s="215" t="str">
        <f ca="1">IF(ISERROR($V68),"",OFFSET('Smelter Look-up'!$C$4,$V68-4,0)&amp;"")</f>
        <v/>
      </c>
      <c r="S68" s="222" t="str">
        <f t="shared" ca="1" si="6"/>
        <v/>
      </c>
      <c r="T68" s="222" t="str">
        <f ca="1">IF(B68="","",IF(ISERROR(MATCH($J68,SorP!$B$1:$B$6230,0)),"",INDIRECT("'SorP'!$A$"&amp;MATCH($J68,SorP!$B$1:$B$6230,0))))</f>
        <v/>
      </c>
      <c r="U68" s="238"/>
      <c r="V68" s="270" t="e">
        <f>IF(C68="",NA(),MATCH($B68&amp;$C68,'Smelter Look-up'!$J:$J,0))</f>
        <v>#N/A</v>
      </c>
      <c r="W68" s="271"/>
      <c r="X68" s="271">
        <f t="shared" ca="1" si="7"/>
        <v>0</v>
      </c>
      <c r="Y68" s="271"/>
      <c r="Z68" s="271"/>
      <c r="AB68" s="273" t="str">
        <f t="shared" si="8"/>
        <v/>
      </c>
    </row>
    <row r="69" spans="1:28" s="272" customFormat="1" ht="20.399999999999999">
      <c r="A69" s="214"/>
      <c r="B69" s="215" t="str">
        <f>IF(LEN(A69)=0,"",INDEX('Smelter Look-up'!$A:$A,MATCH($A69,'Smelter Look-up'!$E:$E,0)))</f>
        <v/>
      </c>
      <c r="C69" s="219" t="str">
        <f>IF(LEN(A69)=0,"",INDEX('Smelter Look-up'!$C:$C,MATCH($A69,'Smelter Look-up'!$E:$E,0)))</f>
        <v/>
      </c>
      <c r="D69" s="278"/>
      <c r="E69" s="215" t="str">
        <f ca="1">IF(ISERROR($V69),"",OFFSET('Smelter Look-up'!$D$4,$V69-4,0)&amp;"")</f>
        <v/>
      </c>
      <c r="F69" s="215" t="str">
        <f ca="1">IF(ISERROR($V69),"",OFFSET('Smelter Look-up'!$E$4,$V69-4,0))</f>
        <v/>
      </c>
      <c r="G69" s="215" t="str">
        <f ca="1">IF(C69=$X$4,"Enter smelter details",IF(ISERROR($V69),"",OFFSET('Smelter Look-up'!$F$4,$V69-4,0)))</f>
        <v/>
      </c>
      <c r="H69" s="216" t="str">
        <f ca="1">IF(ISERROR($V69),"",OFFSET('Smelter Look-up'!$G$4,$V69-4,0))</f>
        <v/>
      </c>
      <c r="I69" s="217" t="str">
        <f ca="1">IF(ISERROR($V69),"",OFFSET('Smelter Look-up'!$H$4,$V69-4,0))</f>
        <v/>
      </c>
      <c r="J69" s="217" t="str">
        <f ca="1">IF(ISERROR($V69),"",OFFSET('Smelter Look-up'!$I$4,$V69-4,0))</f>
        <v/>
      </c>
      <c r="K69" s="268"/>
      <c r="L69" s="268"/>
      <c r="M69" s="268"/>
      <c r="N69" s="268"/>
      <c r="O69" s="268"/>
      <c r="P69" s="218"/>
      <c r="Q69" s="269"/>
      <c r="R69" s="215" t="str">
        <f ca="1">IF(ISERROR($V69),"",OFFSET('Smelter Look-up'!$C$4,$V69-4,0)&amp;"")</f>
        <v/>
      </c>
      <c r="S69" s="222" t="str">
        <f t="shared" ref="S69" ca="1" si="9">IF(B69="","",IF(ISERROR(MATCH($E69,CL,0)),"Unknown",INDIRECT("'C'!$A$"&amp;MATCH($E69,CL,0)+1)))</f>
        <v/>
      </c>
      <c r="T69" s="222" t="str">
        <f ca="1">IF(B69="","",IF(ISERROR(MATCH($J69,SorP!$B$1:$B$6230,0)),"",INDIRECT("'SorP'!$A$"&amp;MATCH($J69,SorP!$B$1:$B$6230,0))))</f>
        <v/>
      </c>
      <c r="U69" s="238"/>
      <c r="V69" s="270" t="e">
        <f>IF(C69="",NA(),MATCH($B69&amp;$C69,'Smelter Look-up'!$J:$J,0))</f>
        <v>#N/A</v>
      </c>
      <c r="W69" s="271"/>
      <c r="X69" s="271">
        <f t="shared" ref="X69" ca="1" si="10">IF(AND(C69="Smelter not listed",OR(LEN(D69)=0,LEN(E69)=0)),1,0)</f>
        <v>0</v>
      </c>
      <c r="Y69" s="271"/>
      <c r="Z69" s="271"/>
      <c r="AB69" s="273" t="str">
        <f t="shared" ref="AB69" si="11">B69&amp;C69</f>
        <v/>
      </c>
    </row>
    <row r="70" spans="1:28" s="272" customFormat="1" ht="20.399999999999999">
      <c r="A70" s="214"/>
      <c r="B70" s="215" t="str">
        <f>IF(LEN(A70)=0,"",INDEX('Smelter Look-up'!$A:$A,MATCH($A70,'Smelter Look-up'!$E:$E,0)))</f>
        <v/>
      </c>
      <c r="C70" s="219" t="str">
        <f>IF(LEN(A70)=0,"",INDEX('Smelter Look-up'!$C:$C,MATCH($A70,'Smelter Look-up'!$E:$E,0)))</f>
        <v/>
      </c>
      <c r="D70" s="278"/>
      <c r="E70" s="215" t="str">
        <f ca="1">IF(ISERROR($V70),"",OFFSET('Smelter Look-up'!$D$4,$V70-4,0)&amp;"")</f>
        <v/>
      </c>
      <c r="F70" s="215" t="str">
        <f ca="1">IF(ISERROR($V70),"",OFFSET('Smelter Look-up'!$E$4,$V70-4,0))</f>
        <v/>
      </c>
      <c r="G70" s="215" t="str">
        <f ca="1">IF(C70=$X$4,"Enter smelter details",IF(ISERROR($V70),"",OFFSET('Smelter Look-up'!$F$4,$V70-4,0)))</f>
        <v/>
      </c>
      <c r="H70" s="216" t="str">
        <f ca="1">IF(ISERROR($V70),"",OFFSET('Smelter Look-up'!$G$4,$V70-4,0))</f>
        <v/>
      </c>
      <c r="I70" s="217" t="str">
        <f ca="1">IF(ISERROR($V70),"",OFFSET('Smelter Look-up'!$H$4,$V70-4,0))</f>
        <v/>
      </c>
      <c r="J70" s="217" t="str">
        <f ca="1">IF(ISERROR($V70),"",OFFSET('Smelter Look-up'!$I$4,$V70-4,0))</f>
        <v/>
      </c>
      <c r="K70" s="268"/>
      <c r="L70" s="268"/>
      <c r="M70" s="268"/>
      <c r="N70" s="268"/>
      <c r="O70" s="268"/>
      <c r="P70" s="218"/>
      <c r="Q70" s="269"/>
      <c r="R70" s="215" t="str">
        <f ca="1">IF(ISERROR($V70),"",OFFSET('Smelter Look-up'!$C$4,$V70-4,0)&amp;"")</f>
        <v/>
      </c>
      <c r="S70" s="222" t="str">
        <f t="shared" ref="S70:S101" ca="1" si="12">IF(B70="","",IF(ISERROR(MATCH($E70,CL,0)),"Unknown",INDIRECT("'C'!$A$"&amp;MATCH($E70,CL,0)+1)))</f>
        <v/>
      </c>
      <c r="T70" s="222" t="str">
        <f ca="1">IF(B70="","",IF(ISERROR(MATCH($J70,SorP!$B$1:$B$6230,0)),"",INDIRECT("'SorP'!$A$"&amp;MATCH($J70,SorP!$B$1:$B$6230,0))))</f>
        <v/>
      </c>
      <c r="U70" s="238"/>
      <c r="V70" s="270" t="e">
        <f>IF(C70="",NA(),MATCH($B70&amp;$C70,'Smelter Look-up'!$J:$J,0))</f>
        <v>#N/A</v>
      </c>
      <c r="W70" s="271"/>
      <c r="X70" s="271">
        <f t="shared" ref="X70:X101" ca="1" si="13">IF(AND(C70="Smelter not listed",OR(LEN(D70)=0,LEN(E70)=0)),1,0)</f>
        <v>0</v>
      </c>
      <c r="Y70" s="271"/>
      <c r="Z70" s="271"/>
      <c r="AB70" s="273" t="str">
        <f t="shared" ref="AB70:AB101" si="14">B70&amp;C70</f>
        <v/>
      </c>
    </row>
    <row r="71" spans="1:28" s="272" customFormat="1" ht="20.399999999999999">
      <c r="A71" s="214"/>
      <c r="B71" s="215" t="str">
        <f>IF(LEN(A71)=0,"",INDEX('Smelter Look-up'!$A:$A,MATCH($A71,'Smelter Look-up'!$E:$E,0)))</f>
        <v/>
      </c>
      <c r="C71" s="219" t="str">
        <f>IF(LEN(A71)=0,"",INDEX('Smelter Look-up'!$C:$C,MATCH($A71,'Smelter Look-up'!$E:$E,0)))</f>
        <v/>
      </c>
      <c r="D71" s="278"/>
      <c r="E71" s="215" t="str">
        <f ca="1">IF(ISERROR($V71),"",OFFSET('Smelter Look-up'!$D$4,$V71-4,0)&amp;"")</f>
        <v/>
      </c>
      <c r="F71" s="215" t="str">
        <f ca="1">IF(ISERROR($V71),"",OFFSET('Smelter Look-up'!$E$4,$V71-4,0))</f>
        <v/>
      </c>
      <c r="G71" s="215" t="str">
        <f ca="1">IF(C71=$X$4,"Enter smelter details",IF(ISERROR($V71),"",OFFSET('Smelter Look-up'!$F$4,$V71-4,0)))</f>
        <v/>
      </c>
      <c r="H71" s="216" t="str">
        <f ca="1">IF(ISERROR($V71),"",OFFSET('Smelter Look-up'!$G$4,$V71-4,0))</f>
        <v/>
      </c>
      <c r="I71" s="217" t="str">
        <f ca="1">IF(ISERROR($V71),"",OFFSET('Smelter Look-up'!$H$4,$V71-4,0))</f>
        <v/>
      </c>
      <c r="J71" s="217" t="str">
        <f ca="1">IF(ISERROR($V71),"",OFFSET('Smelter Look-up'!$I$4,$V71-4,0))</f>
        <v/>
      </c>
      <c r="K71" s="268"/>
      <c r="L71" s="268"/>
      <c r="M71" s="268"/>
      <c r="N71" s="268"/>
      <c r="O71" s="268"/>
      <c r="P71" s="218"/>
      <c r="Q71" s="269"/>
      <c r="R71" s="215" t="str">
        <f ca="1">IF(ISERROR($V71),"",OFFSET('Smelter Look-up'!$C$4,$V71-4,0)&amp;"")</f>
        <v/>
      </c>
      <c r="S71" s="222" t="str">
        <f t="shared" ca="1" si="12"/>
        <v/>
      </c>
      <c r="T71" s="222" t="str">
        <f ca="1">IF(B71="","",IF(ISERROR(MATCH($J71,SorP!$B$1:$B$6230,0)),"",INDIRECT("'SorP'!$A$"&amp;MATCH($J71,SorP!$B$1:$B$6230,0))))</f>
        <v/>
      </c>
      <c r="U71" s="238"/>
      <c r="V71" s="270" t="e">
        <f>IF(C71="",NA(),MATCH($B71&amp;$C71,'Smelter Look-up'!$J:$J,0))</f>
        <v>#N/A</v>
      </c>
      <c r="W71" s="271"/>
      <c r="X71" s="271">
        <f t="shared" ca="1" si="13"/>
        <v>0</v>
      </c>
      <c r="Y71" s="271"/>
      <c r="Z71" s="271"/>
      <c r="AB71" s="273" t="str">
        <f t="shared" si="14"/>
        <v/>
      </c>
    </row>
    <row r="72" spans="1:28" s="272" customFormat="1" ht="20.399999999999999">
      <c r="A72" s="214"/>
      <c r="B72" s="215" t="str">
        <f>IF(LEN(A72)=0,"",INDEX('Smelter Look-up'!$A:$A,MATCH($A72,'Smelter Look-up'!$E:$E,0)))</f>
        <v/>
      </c>
      <c r="C72" s="219" t="str">
        <f>IF(LEN(A72)=0,"",INDEX('Smelter Look-up'!$C:$C,MATCH($A72,'Smelter Look-up'!$E:$E,0)))</f>
        <v/>
      </c>
      <c r="D72" s="278"/>
      <c r="E72" s="215" t="str">
        <f ca="1">IF(ISERROR($V72),"",OFFSET('Smelter Look-up'!$D$4,$V72-4,0)&amp;"")</f>
        <v/>
      </c>
      <c r="F72" s="215" t="str">
        <f ca="1">IF(ISERROR($V72),"",OFFSET('Smelter Look-up'!$E$4,$V72-4,0))</f>
        <v/>
      </c>
      <c r="G72" s="215" t="str">
        <f ca="1">IF(C72=$X$4,"Enter smelter details",IF(ISERROR($V72),"",OFFSET('Smelter Look-up'!$F$4,$V72-4,0)))</f>
        <v/>
      </c>
      <c r="H72" s="216" t="str">
        <f ca="1">IF(ISERROR($V72),"",OFFSET('Smelter Look-up'!$G$4,$V72-4,0))</f>
        <v/>
      </c>
      <c r="I72" s="217" t="str">
        <f ca="1">IF(ISERROR($V72),"",OFFSET('Smelter Look-up'!$H$4,$V72-4,0))</f>
        <v/>
      </c>
      <c r="J72" s="217" t="str">
        <f ca="1">IF(ISERROR($V72),"",OFFSET('Smelter Look-up'!$I$4,$V72-4,0))</f>
        <v/>
      </c>
      <c r="K72" s="268"/>
      <c r="L72" s="268"/>
      <c r="M72" s="268"/>
      <c r="N72" s="268"/>
      <c r="O72" s="268"/>
      <c r="P72" s="218"/>
      <c r="Q72" s="269"/>
      <c r="R72" s="215" t="str">
        <f ca="1">IF(ISERROR($V72),"",OFFSET('Smelter Look-up'!$C$4,$V72-4,0)&amp;"")</f>
        <v/>
      </c>
      <c r="S72" s="222" t="str">
        <f t="shared" ca="1" si="12"/>
        <v/>
      </c>
      <c r="T72" s="222" t="str">
        <f ca="1">IF(B72="","",IF(ISERROR(MATCH($J72,SorP!$B$1:$B$6230,0)),"",INDIRECT("'SorP'!$A$"&amp;MATCH($J72,SorP!$B$1:$B$6230,0))))</f>
        <v/>
      </c>
      <c r="U72" s="238"/>
      <c r="V72" s="270" t="e">
        <f>IF(C72="",NA(),MATCH($B72&amp;$C72,'Smelter Look-up'!$J:$J,0))</f>
        <v>#N/A</v>
      </c>
      <c r="W72" s="271"/>
      <c r="X72" s="271">
        <f t="shared" ca="1" si="13"/>
        <v>0</v>
      </c>
      <c r="Y72" s="271"/>
      <c r="Z72" s="271"/>
      <c r="AB72" s="273" t="str">
        <f t="shared" si="14"/>
        <v/>
      </c>
    </row>
    <row r="73" spans="1:28" s="272" customFormat="1" ht="20.399999999999999">
      <c r="A73" s="214"/>
      <c r="B73" s="215" t="str">
        <f>IF(LEN(A73)=0,"",INDEX('Smelter Look-up'!$A:$A,MATCH($A73,'Smelter Look-up'!$E:$E,0)))</f>
        <v/>
      </c>
      <c r="C73" s="219" t="str">
        <f>IF(LEN(A73)=0,"",INDEX('Smelter Look-up'!$C:$C,MATCH($A73,'Smelter Look-up'!$E:$E,0)))</f>
        <v/>
      </c>
      <c r="D73" s="278"/>
      <c r="E73" s="215" t="str">
        <f ca="1">IF(ISERROR($V73),"",OFFSET('Smelter Look-up'!$D$4,$V73-4,0)&amp;"")</f>
        <v/>
      </c>
      <c r="F73" s="215" t="str">
        <f ca="1">IF(ISERROR($V73),"",OFFSET('Smelter Look-up'!$E$4,$V73-4,0))</f>
        <v/>
      </c>
      <c r="G73" s="215" t="str">
        <f ca="1">IF(C73=$X$4,"Enter smelter details",IF(ISERROR($V73),"",OFFSET('Smelter Look-up'!$F$4,$V73-4,0)))</f>
        <v/>
      </c>
      <c r="H73" s="216" t="str">
        <f ca="1">IF(ISERROR($V73),"",OFFSET('Smelter Look-up'!$G$4,$V73-4,0))</f>
        <v/>
      </c>
      <c r="I73" s="217" t="str">
        <f ca="1">IF(ISERROR($V73),"",OFFSET('Smelter Look-up'!$H$4,$V73-4,0))</f>
        <v/>
      </c>
      <c r="J73" s="217" t="str">
        <f ca="1">IF(ISERROR($V73),"",OFFSET('Smelter Look-up'!$I$4,$V73-4,0))</f>
        <v/>
      </c>
      <c r="K73" s="268"/>
      <c r="L73" s="268"/>
      <c r="M73" s="268"/>
      <c r="N73" s="268"/>
      <c r="O73" s="268"/>
      <c r="P73" s="218"/>
      <c r="Q73" s="269"/>
      <c r="R73" s="215" t="str">
        <f ca="1">IF(ISERROR($V73),"",OFFSET('Smelter Look-up'!$C$4,$V73-4,0)&amp;"")</f>
        <v/>
      </c>
      <c r="S73" s="222" t="str">
        <f t="shared" ca="1" si="12"/>
        <v/>
      </c>
      <c r="T73" s="222" t="str">
        <f ca="1">IF(B73="","",IF(ISERROR(MATCH($J73,SorP!$B$1:$B$6230,0)),"",INDIRECT("'SorP'!$A$"&amp;MATCH($J73,SorP!$B$1:$B$6230,0))))</f>
        <v/>
      </c>
      <c r="U73" s="238"/>
      <c r="V73" s="270" t="e">
        <f>IF(C73="",NA(),MATCH($B73&amp;$C73,'Smelter Look-up'!$J:$J,0))</f>
        <v>#N/A</v>
      </c>
      <c r="W73" s="271"/>
      <c r="X73" s="271">
        <f t="shared" ca="1" si="13"/>
        <v>0</v>
      </c>
      <c r="Y73" s="271"/>
      <c r="Z73" s="271"/>
      <c r="AB73" s="273" t="str">
        <f t="shared" si="14"/>
        <v/>
      </c>
    </row>
    <row r="74" spans="1:28" s="272" customFormat="1" ht="20.399999999999999">
      <c r="A74" s="214"/>
      <c r="B74" s="215" t="str">
        <f>IF(LEN(A74)=0,"",INDEX('Smelter Look-up'!$A:$A,MATCH($A74,'Smelter Look-up'!$E:$E,0)))</f>
        <v/>
      </c>
      <c r="C74" s="219" t="str">
        <f>IF(LEN(A74)=0,"",INDEX('Smelter Look-up'!$C:$C,MATCH($A74,'Smelter Look-up'!$E:$E,0)))</f>
        <v/>
      </c>
      <c r="D74" s="278"/>
      <c r="E74" s="215" t="str">
        <f ca="1">IF(ISERROR($V74),"",OFFSET('Smelter Look-up'!$D$4,$V74-4,0)&amp;"")</f>
        <v/>
      </c>
      <c r="F74" s="215" t="str">
        <f ca="1">IF(ISERROR($V74),"",OFFSET('Smelter Look-up'!$E$4,$V74-4,0))</f>
        <v/>
      </c>
      <c r="G74" s="215" t="str">
        <f ca="1">IF(C74=$X$4,"Enter smelter details",IF(ISERROR($V74),"",OFFSET('Smelter Look-up'!$F$4,$V74-4,0)))</f>
        <v/>
      </c>
      <c r="H74" s="216" t="str">
        <f ca="1">IF(ISERROR($V74),"",OFFSET('Smelter Look-up'!$G$4,$V74-4,0))</f>
        <v/>
      </c>
      <c r="I74" s="217" t="str">
        <f ca="1">IF(ISERROR($V74),"",OFFSET('Smelter Look-up'!$H$4,$V74-4,0))</f>
        <v/>
      </c>
      <c r="J74" s="217" t="str">
        <f ca="1">IF(ISERROR($V74),"",OFFSET('Smelter Look-up'!$I$4,$V74-4,0))</f>
        <v/>
      </c>
      <c r="K74" s="268"/>
      <c r="L74" s="268"/>
      <c r="M74" s="268"/>
      <c r="N74" s="268"/>
      <c r="O74" s="268"/>
      <c r="P74" s="218"/>
      <c r="Q74" s="269"/>
      <c r="R74" s="215" t="str">
        <f ca="1">IF(ISERROR($V74),"",OFFSET('Smelter Look-up'!$C$4,$V74-4,0)&amp;"")</f>
        <v/>
      </c>
      <c r="S74" s="222" t="str">
        <f t="shared" ca="1" si="12"/>
        <v/>
      </c>
      <c r="T74" s="222" t="str">
        <f ca="1">IF(B74="","",IF(ISERROR(MATCH($J74,SorP!$B$1:$B$6230,0)),"",INDIRECT("'SorP'!$A$"&amp;MATCH($J74,SorP!$B$1:$B$6230,0))))</f>
        <v/>
      </c>
      <c r="U74" s="238"/>
      <c r="V74" s="270" t="e">
        <f>IF(C74="",NA(),MATCH($B74&amp;$C74,'Smelter Look-up'!$J:$J,0))</f>
        <v>#N/A</v>
      </c>
      <c r="W74" s="271"/>
      <c r="X74" s="271">
        <f t="shared" ca="1" si="13"/>
        <v>0</v>
      </c>
      <c r="Y74" s="271"/>
      <c r="Z74" s="271"/>
      <c r="AB74" s="273" t="str">
        <f t="shared" si="14"/>
        <v/>
      </c>
    </row>
    <row r="75" spans="1:28" s="272" customFormat="1" ht="20.399999999999999">
      <c r="A75" s="214"/>
      <c r="B75" s="215" t="str">
        <f>IF(LEN(A75)=0,"",INDEX('Smelter Look-up'!$A:$A,MATCH($A75,'Smelter Look-up'!$E:$E,0)))</f>
        <v/>
      </c>
      <c r="C75" s="219" t="str">
        <f>IF(LEN(A75)=0,"",INDEX('Smelter Look-up'!$C:$C,MATCH($A75,'Smelter Look-up'!$E:$E,0)))</f>
        <v/>
      </c>
      <c r="D75" s="278"/>
      <c r="E75" s="215" t="str">
        <f ca="1">IF(ISERROR($V75),"",OFFSET('Smelter Look-up'!$D$4,$V75-4,0)&amp;"")</f>
        <v/>
      </c>
      <c r="F75" s="215" t="str">
        <f ca="1">IF(ISERROR($V75),"",OFFSET('Smelter Look-up'!$E$4,$V75-4,0))</f>
        <v/>
      </c>
      <c r="G75" s="215" t="str">
        <f ca="1">IF(C75=$X$4,"Enter smelter details",IF(ISERROR($V75),"",OFFSET('Smelter Look-up'!$F$4,$V75-4,0)))</f>
        <v/>
      </c>
      <c r="H75" s="216" t="str">
        <f ca="1">IF(ISERROR($V75),"",OFFSET('Smelter Look-up'!$G$4,$V75-4,0))</f>
        <v/>
      </c>
      <c r="I75" s="217" t="str">
        <f ca="1">IF(ISERROR($V75),"",OFFSET('Smelter Look-up'!$H$4,$V75-4,0))</f>
        <v/>
      </c>
      <c r="J75" s="217" t="str">
        <f ca="1">IF(ISERROR($V75),"",OFFSET('Smelter Look-up'!$I$4,$V75-4,0))</f>
        <v/>
      </c>
      <c r="K75" s="268"/>
      <c r="L75" s="268"/>
      <c r="M75" s="268"/>
      <c r="N75" s="268"/>
      <c r="O75" s="268"/>
      <c r="P75" s="218"/>
      <c r="Q75" s="269"/>
      <c r="R75" s="215" t="str">
        <f ca="1">IF(ISERROR($V75),"",OFFSET('Smelter Look-up'!$C$4,$V75-4,0)&amp;"")</f>
        <v/>
      </c>
      <c r="S75" s="222" t="str">
        <f t="shared" ca="1" si="12"/>
        <v/>
      </c>
      <c r="T75" s="222" t="str">
        <f ca="1">IF(B75="","",IF(ISERROR(MATCH($J75,SorP!$B$1:$B$6230,0)),"",INDIRECT("'SorP'!$A$"&amp;MATCH($J75,SorP!$B$1:$B$6230,0))))</f>
        <v/>
      </c>
      <c r="U75" s="238"/>
      <c r="V75" s="270" t="e">
        <f>IF(C75="",NA(),MATCH($B75&amp;$C75,'Smelter Look-up'!$J:$J,0))</f>
        <v>#N/A</v>
      </c>
      <c r="W75" s="271"/>
      <c r="X75" s="271">
        <f t="shared" ca="1" si="13"/>
        <v>0</v>
      </c>
      <c r="Y75" s="271"/>
      <c r="Z75" s="271"/>
      <c r="AB75" s="273" t="str">
        <f t="shared" si="14"/>
        <v/>
      </c>
    </row>
    <row r="76" spans="1:28" s="272" customFormat="1" ht="20.399999999999999">
      <c r="A76" s="214"/>
      <c r="B76" s="215" t="str">
        <f>IF(LEN(A76)=0,"",INDEX('Smelter Look-up'!$A:$A,MATCH($A76,'Smelter Look-up'!$E:$E,0)))</f>
        <v/>
      </c>
      <c r="C76" s="219" t="str">
        <f>IF(LEN(A76)=0,"",INDEX('Smelter Look-up'!$C:$C,MATCH($A76,'Smelter Look-up'!$E:$E,0)))</f>
        <v/>
      </c>
      <c r="D76" s="278"/>
      <c r="E76" s="215" t="str">
        <f ca="1">IF(ISERROR($V76),"",OFFSET('Smelter Look-up'!$D$4,$V76-4,0)&amp;"")</f>
        <v/>
      </c>
      <c r="F76" s="215" t="str">
        <f ca="1">IF(ISERROR($V76),"",OFFSET('Smelter Look-up'!$E$4,$V76-4,0))</f>
        <v/>
      </c>
      <c r="G76" s="215" t="str">
        <f ca="1">IF(C76=$X$4,"Enter smelter details",IF(ISERROR($V76),"",OFFSET('Smelter Look-up'!$F$4,$V76-4,0)))</f>
        <v/>
      </c>
      <c r="H76" s="216" t="str">
        <f ca="1">IF(ISERROR($V76),"",OFFSET('Smelter Look-up'!$G$4,$V76-4,0))</f>
        <v/>
      </c>
      <c r="I76" s="217" t="str">
        <f ca="1">IF(ISERROR($V76),"",OFFSET('Smelter Look-up'!$H$4,$V76-4,0))</f>
        <v/>
      </c>
      <c r="J76" s="217" t="str">
        <f ca="1">IF(ISERROR($V76),"",OFFSET('Smelter Look-up'!$I$4,$V76-4,0))</f>
        <v/>
      </c>
      <c r="K76" s="268"/>
      <c r="L76" s="268"/>
      <c r="M76" s="268"/>
      <c r="N76" s="268"/>
      <c r="O76" s="268"/>
      <c r="P76" s="218"/>
      <c r="Q76" s="269"/>
      <c r="R76" s="215" t="str">
        <f ca="1">IF(ISERROR($V76),"",OFFSET('Smelter Look-up'!$C$4,$V76-4,0)&amp;"")</f>
        <v/>
      </c>
      <c r="S76" s="222" t="str">
        <f t="shared" ca="1" si="12"/>
        <v/>
      </c>
      <c r="T76" s="222" t="str">
        <f ca="1">IF(B76="","",IF(ISERROR(MATCH($J76,SorP!$B$1:$B$6230,0)),"",INDIRECT("'SorP'!$A$"&amp;MATCH($J76,SorP!$B$1:$B$6230,0))))</f>
        <v/>
      </c>
      <c r="U76" s="238"/>
      <c r="V76" s="270" t="e">
        <f>IF(C76="",NA(),MATCH($B76&amp;$C76,'Smelter Look-up'!$J:$J,0))</f>
        <v>#N/A</v>
      </c>
      <c r="W76" s="271"/>
      <c r="X76" s="271">
        <f t="shared" ca="1" si="13"/>
        <v>0</v>
      </c>
      <c r="Y76" s="271"/>
      <c r="Z76" s="271"/>
      <c r="AB76" s="273" t="str">
        <f t="shared" si="14"/>
        <v/>
      </c>
    </row>
    <row r="77" spans="1:28" s="272" customFormat="1" ht="20.399999999999999">
      <c r="A77" s="214"/>
      <c r="B77" s="215" t="str">
        <f>IF(LEN(A77)=0,"",INDEX('Smelter Look-up'!$A:$A,MATCH($A77,'Smelter Look-up'!$E:$E,0)))</f>
        <v/>
      </c>
      <c r="C77" s="219" t="str">
        <f>IF(LEN(A77)=0,"",INDEX('Smelter Look-up'!$C:$C,MATCH($A77,'Smelter Look-up'!$E:$E,0)))</f>
        <v/>
      </c>
      <c r="D77" s="278"/>
      <c r="E77" s="215" t="str">
        <f ca="1">IF(ISERROR($V77),"",OFFSET('Smelter Look-up'!$D$4,$V77-4,0)&amp;"")</f>
        <v/>
      </c>
      <c r="F77" s="215" t="str">
        <f ca="1">IF(ISERROR($V77),"",OFFSET('Smelter Look-up'!$E$4,$V77-4,0))</f>
        <v/>
      </c>
      <c r="G77" s="215" t="str">
        <f ca="1">IF(C77=$X$4,"Enter smelter details",IF(ISERROR($V77),"",OFFSET('Smelter Look-up'!$F$4,$V77-4,0)))</f>
        <v/>
      </c>
      <c r="H77" s="216" t="str">
        <f ca="1">IF(ISERROR($V77),"",OFFSET('Smelter Look-up'!$G$4,$V77-4,0))</f>
        <v/>
      </c>
      <c r="I77" s="217" t="str">
        <f ca="1">IF(ISERROR($V77),"",OFFSET('Smelter Look-up'!$H$4,$V77-4,0))</f>
        <v/>
      </c>
      <c r="J77" s="217" t="str">
        <f ca="1">IF(ISERROR($V77),"",OFFSET('Smelter Look-up'!$I$4,$V77-4,0))</f>
        <v/>
      </c>
      <c r="K77" s="268"/>
      <c r="L77" s="268"/>
      <c r="M77" s="268"/>
      <c r="N77" s="268"/>
      <c r="O77" s="268"/>
      <c r="P77" s="218"/>
      <c r="Q77" s="269"/>
      <c r="R77" s="215" t="str">
        <f ca="1">IF(ISERROR($V77),"",OFFSET('Smelter Look-up'!$C$4,$V77-4,0)&amp;"")</f>
        <v/>
      </c>
      <c r="S77" s="222" t="str">
        <f t="shared" ca="1" si="12"/>
        <v/>
      </c>
      <c r="T77" s="222" t="str">
        <f ca="1">IF(B77="","",IF(ISERROR(MATCH($J77,SorP!$B$1:$B$6230,0)),"",INDIRECT("'SorP'!$A$"&amp;MATCH($J77,SorP!$B$1:$B$6230,0))))</f>
        <v/>
      </c>
      <c r="U77" s="238"/>
      <c r="V77" s="270" t="e">
        <f>IF(C77="",NA(),MATCH($B77&amp;$C77,'Smelter Look-up'!$J:$J,0))</f>
        <v>#N/A</v>
      </c>
      <c r="W77" s="271"/>
      <c r="X77" s="271">
        <f t="shared" ca="1" si="13"/>
        <v>0</v>
      </c>
      <c r="Y77" s="271"/>
      <c r="Z77" s="271"/>
      <c r="AB77" s="273" t="str">
        <f t="shared" si="14"/>
        <v/>
      </c>
    </row>
    <row r="78" spans="1:28" s="272" customFormat="1" ht="20.399999999999999">
      <c r="A78" s="214"/>
      <c r="B78" s="215" t="str">
        <f>IF(LEN(A78)=0,"",INDEX('Smelter Look-up'!$A:$A,MATCH($A78,'Smelter Look-up'!$E:$E,0)))</f>
        <v/>
      </c>
      <c r="C78" s="219" t="str">
        <f>IF(LEN(A78)=0,"",INDEX('Smelter Look-up'!$C:$C,MATCH($A78,'Smelter Look-up'!$E:$E,0)))</f>
        <v/>
      </c>
      <c r="D78" s="278"/>
      <c r="E78" s="215" t="str">
        <f ca="1">IF(ISERROR($V78),"",OFFSET('Smelter Look-up'!$D$4,$V78-4,0)&amp;"")</f>
        <v/>
      </c>
      <c r="F78" s="215" t="str">
        <f ca="1">IF(ISERROR($V78),"",OFFSET('Smelter Look-up'!$E$4,$V78-4,0))</f>
        <v/>
      </c>
      <c r="G78" s="215" t="str">
        <f ca="1">IF(C78=$X$4,"Enter smelter details",IF(ISERROR($V78),"",OFFSET('Smelter Look-up'!$F$4,$V78-4,0)))</f>
        <v/>
      </c>
      <c r="H78" s="216" t="str">
        <f ca="1">IF(ISERROR($V78),"",OFFSET('Smelter Look-up'!$G$4,$V78-4,0))</f>
        <v/>
      </c>
      <c r="I78" s="217" t="str">
        <f ca="1">IF(ISERROR($V78),"",OFFSET('Smelter Look-up'!$H$4,$V78-4,0))</f>
        <v/>
      </c>
      <c r="J78" s="217" t="str">
        <f ca="1">IF(ISERROR($V78),"",OFFSET('Smelter Look-up'!$I$4,$V78-4,0))</f>
        <v/>
      </c>
      <c r="K78" s="268"/>
      <c r="L78" s="268"/>
      <c r="M78" s="268"/>
      <c r="N78" s="268"/>
      <c r="O78" s="268"/>
      <c r="P78" s="218"/>
      <c r="Q78" s="269"/>
      <c r="R78" s="215" t="str">
        <f ca="1">IF(ISERROR($V78),"",OFFSET('Smelter Look-up'!$C$4,$V78-4,0)&amp;"")</f>
        <v/>
      </c>
      <c r="S78" s="222" t="str">
        <f t="shared" ca="1" si="12"/>
        <v/>
      </c>
      <c r="T78" s="222" t="str">
        <f ca="1">IF(B78="","",IF(ISERROR(MATCH($J78,SorP!$B$1:$B$6230,0)),"",INDIRECT("'SorP'!$A$"&amp;MATCH($J78,SorP!$B$1:$B$6230,0))))</f>
        <v/>
      </c>
      <c r="U78" s="238"/>
      <c r="V78" s="270" t="e">
        <f>IF(C78="",NA(),MATCH($B78&amp;$C78,'Smelter Look-up'!$J:$J,0))</f>
        <v>#N/A</v>
      </c>
      <c r="W78" s="271"/>
      <c r="X78" s="271">
        <f t="shared" ca="1" si="13"/>
        <v>0</v>
      </c>
      <c r="Y78" s="271"/>
      <c r="Z78" s="271"/>
      <c r="AB78" s="273" t="str">
        <f t="shared" si="14"/>
        <v/>
      </c>
    </row>
    <row r="79" spans="1:28" s="272" customFormat="1" ht="20.399999999999999">
      <c r="A79" s="214"/>
      <c r="B79" s="215" t="str">
        <f>IF(LEN(A79)=0,"",INDEX('Smelter Look-up'!$A:$A,MATCH($A79,'Smelter Look-up'!$E:$E,0)))</f>
        <v/>
      </c>
      <c r="C79" s="219" t="str">
        <f>IF(LEN(A79)=0,"",INDEX('Smelter Look-up'!$C:$C,MATCH($A79,'Smelter Look-up'!$E:$E,0)))</f>
        <v/>
      </c>
      <c r="D79" s="278"/>
      <c r="E79" s="215" t="str">
        <f ca="1">IF(ISERROR($V79),"",OFFSET('Smelter Look-up'!$D$4,$V79-4,0)&amp;"")</f>
        <v/>
      </c>
      <c r="F79" s="215" t="str">
        <f ca="1">IF(ISERROR($V79),"",OFFSET('Smelter Look-up'!$E$4,$V79-4,0))</f>
        <v/>
      </c>
      <c r="G79" s="215" t="str">
        <f ca="1">IF(C79=$X$4,"Enter smelter details",IF(ISERROR($V79),"",OFFSET('Smelter Look-up'!$F$4,$V79-4,0)))</f>
        <v/>
      </c>
      <c r="H79" s="216" t="str">
        <f ca="1">IF(ISERROR($V79),"",OFFSET('Smelter Look-up'!$G$4,$V79-4,0))</f>
        <v/>
      </c>
      <c r="I79" s="217" t="str">
        <f ca="1">IF(ISERROR($V79),"",OFFSET('Smelter Look-up'!$H$4,$V79-4,0))</f>
        <v/>
      </c>
      <c r="J79" s="217" t="str">
        <f ca="1">IF(ISERROR($V79),"",OFFSET('Smelter Look-up'!$I$4,$V79-4,0))</f>
        <v/>
      </c>
      <c r="K79" s="268"/>
      <c r="L79" s="268"/>
      <c r="M79" s="268"/>
      <c r="N79" s="268"/>
      <c r="O79" s="268"/>
      <c r="P79" s="218"/>
      <c r="Q79" s="269"/>
      <c r="R79" s="215" t="str">
        <f ca="1">IF(ISERROR($V79),"",OFFSET('Smelter Look-up'!$C$4,$V79-4,0)&amp;"")</f>
        <v/>
      </c>
      <c r="S79" s="222" t="str">
        <f t="shared" ca="1" si="12"/>
        <v/>
      </c>
      <c r="T79" s="222" t="str">
        <f ca="1">IF(B79="","",IF(ISERROR(MATCH($J79,SorP!$B$1:$B$6230,0)),"",INDIRECT("'SorP'!$A$"&amp;MATCH($J79,SorP!$B$1:$B$6230,0))))</f>
        <v/>
      </c>
      <c r="U79" s="238"/>
      <c r="V79" s="270" t="e">
        <f>IF(C79="",NA(),MATCH($B79&amp;$C79,'Smelter Look-up'!$J:$J,0))</f>
        <v>#N/A</v>
      </c>
      <c r="W79" s="271"/>
      <c r="X79" s="271">
        <f t="shared" ca="1" si="13"/>
        <v>0</v>
      </c>
      <c r="Y79" s="271"/>
      <c r="Z79" s="271"/>
      <c r="AB79" s="273" t="str">
        <f t="shared" si="14"/>
        <v/>
      </c>
    </row>
    <row r="80" spans="1:28" s="272" customFormat="1" ht="20.399999999999999">
      <c r="A80" s="214"/>
      <c r="B80" s="215" t="str">
        <f>IF(LEN(A80)=0,"",INDEX('Smelter Look-up'!$A:$A,MATCH($A80,'Smelter Look-up'!$E:$E,0)))</f>
        <v/>
      </c>
      <c r="C80" s="219" t="str">
        <f>IF(LEN(A80)=0,"",INDEX('Smelter Look-up'!$C:$C,MATCH($A80,'Smelter Look-up'!$E:$E,0)))</f>
        <v/>
      </c>
      <c r="D80" s="278"/>
      <c r="E80" s="215" t="str">
        <f ca="1">IF(ISERROR($V80),"",OFFSET('Smelter Look-up'!$D$4,$V80-4,0)&amp;"")</f>
        <v/>
      </c>
      <c r="F80" s="215" t="str">
        <f ca="1">IF(ISERROR($V80),"",OFFSET('Smelter Look-up'!$E$4,$V80-4,0))</f>
        <v/>
      </c>
      <c r="G80" s="215" t="str">
        <f ca="1">IF(C80=$X$4,"Enter smelter details",IF(ISERROR($V80),"",OFFSET('Smelter Look-up'!$F$4,$V80-4,0)))</f>
        <v/>
      </c>
      <c r="H80" s="216" t="str">
        <f ca="1">IF(ISERROR($V80),"",OFFSET('Smelter Look-up'!$G$4,$V80-4,0))</f>
        <v/>
      </c>
      <c r="I80" s="217" t="str">
        <f ca="1">IF(ISERROR($V80),"",OFFSET('Smelter Look-up'!$H$4,$V80-4,0))</f>
        <v/>
      </c>
      <c r="J80" s="217" t="str">
        <f ca="1">IF(ISERROR($V80),"",OFFSET('Smelter Look-up'!$I$4,$V80-4,0))</f>
        <v/>
      </c>
      <c r="K80" s="268"/>
      <c r="L80" s="268"/>
      <c r="M80" s="268"/>
      <c r="N80" s="268"/>
      <c r="O80" s="268"/>
      <c r="P80" s="218"/>
      <c r="Q80" s="269"/>
      <c r="R80" s="215" t="str">
        <f ca="1">IF(ISERROR($V80),"",OFFSET('Smelter Look-up'!$C$4,$V80-4,0)&amp;"")</f>
        <v/>
      </c>
      <c r="S80" s="222" t="str">
        <f t="shared" ca="1" si="12"/>
        <v/>
      </c>
      <c r="T80" s="222" t="str">
        <f ca="1">IF(B80="","",IF(ISERROR(MATCH($J80,SorP!$B$1:$B$6230,0)),"",INDIRECT("'SorP'!$A$"&amp;MATCH($J80,SorP!$B$1:$B$6230,0))))</f>
        <v/>
      </c>
      <c r="U80" s="238"/>
      <c r="V80" s="270" t="e">
        <f>IF(C80="",NA(),MATCH($B80&amp;$C80,'Smelter Look-up'!$J:$J,0))</f>
        <v>#N/A</v>
      </c>
      <c r="W80" s="271"/>
      <c r="X80" s="271">
        <f t="shared" ca="1" si="13"/>
        <v>0</v>
      </c>
      <c r="Y80" s="271"/>
      <c r="Z80" s="271"/>
      <c r="AB80" s="273" t="str">
        <f t="shared" si="14"/>
        <v/>
      </c>
    </row>
    <row r="81" spans="1:28" s="272" customFormat="1" ht="20.399999999999999">
      <c r="A81" s="214"/>
      <c r="B81" s="215" t="str">
        <f>IF(LEN(A81)=0,"",INDEX('Smelter Look-up'!$A:$A,MATCH($A81,'Smelter Look-up'!$E:$E,0)))</f>
        <v/>
      </c>
      <c r="C81" s="219" t="str">
        <f>IF(LEN(A81)=0,"",INDEX('Smelter Look-up'!$C:$C,MATCH($A81,'Smelter Look-up'!$E:$E,0)))</f>
        <v/>
      </c>
      <c r="D81" s="278"/>
      <c r="E81" s="215" t="str">
        <f ca="1">IF(ISERROR($V81),"",OFFSET('Smelter Look-up'!$D$4,$V81-4,0)&amp;"")</f>
        <v/>
      </c>
      <c r="F81" s="215" t="str">
        <f ca="1">IF(ISERROR($V81),"",OFFSET('Smelter Look-up'!$E$4,$V81-4,0))</f>
        <v/>
      </c>
      <c r="G81" s="215" t="str">
        <f ca="1">IF(C81=$X$4,"Enter smelter details",IF(ISERROR($V81),"",OFFSET('Smelter Look-up'!$F$4,$V81-4,0)))</f>
        <v/>
      </c>
      <c r="H81" s="216" t="str">
        <f ca="1">IF(ISERROR($V81),"",OFFSET('Smelter Look-up'!$G$4,$V81-4,0))</f>
        <v/>
      </c>
      <c r="I81" s="217" t="str">
        <f ca="1">IF(ISERROR($V81),"",OFFSET('Smelter Look-up'!$H$4,$V81-4,0))</f>
        <v/>
      </c>
      <c r="J81" s="217" t="str">
        <f ca="1">IF(ISERROR($V81),"",OFFSET('Smelter Look-up'!$I$4,$V81-4,0))</f>
        <v/>
      </c>
      <c r="K81" s="268"/>
      <c r="L81" s="268"/>
      <c r="M81" s="268"/>
      <c r="N81" s="268"/>
      <c r="O81" s="268"/>
      <c r="P81" s="218"/>
      <c r="Q81" s="269"/>
      <c r="R81" s="215" t="str">
        <f ca="1">IF(ISERROR($V81),"",OFFSET('Smelter Look-up'!$C$4,$V81-4,0)&amp;"")</f>
        <v/>
      </c>
      <c r="S81" s="222" t="str">
        <f t="shared" ca="1" si="12"/>
        <v/>
      </c>
      <c r="T81" s="222" t="str">
        <f ca="1">IF(B81="","",IF(ISERROR(MATCH($J81,SorP!$B$1:$B$6230,0)),"",INDIRECT("'SorP'!$A$"&amp;MATCH($J81,SorP!$B$1:$B$6230,0))))</f>
        <v/>
      </c>
      <c r="U81" s="238"/>
      <c r="V81" s="270" t="e">
        <f>IF(C81="",NA(),MATCH($B81&amp;$C81,'Smelter Look-up'!$J:$J,0))</f>
        <v>#N/A</v>
      </c>
      <c r="W81" s="271"/>
      <c r="X81" s="271">
        <f t="shared" ca="1" si="13"/>
        <v>0</v>
      </c>
      <c r="Y81" s="271"/>
      <c r="Z81" s="271"/>
      <c r="AB81" s="273" t="str">
        <f t="shared" si="14"/>
        <v/>
      </c>
    </row>
    <row r="82" spans="1:28" s="272" customFormat="1" ht="20.399999999999999">
      <c r="A82" s="214"/>
      <c r="B82" s="215" t="str">
        <f>IF(LEN(A82)=0,"",INDEX('Smelter Look-up'!$A:$A,MATCH($A82,'Smelter Look-up'!$E:$E,0)))</f>
        <v/>
      </c>
      <c r="C82" s="219" t="str">
        <f>IF(LEN(A82)=0,"",INDEX('Smelter Look-up'!$C:$C,MATCH($A82,'Smelter Look-up'!$E:$E,0)))</f>
        <v/>
      </c>
      <c r="D82" s="278"/>
      <c r="E82" s="215" t="str">
        <f ca="1">IF(ISERROR($V82),"",OFFSET('Smelter Look-up'!$D$4,$V82-4,0)&amp;"")</f>
        <v/>
      </c>
      <c r="F82" s="215" t="str">
        <f ca="1">IF(ISERROR($V82),"",OFFSET('Smelter Look-up'!$E$4,$V82-4,0))</f>
        <v/>
      </c>
      <c r="G82" s="215" t="str">
        <f ca="1">IF(C82=$X$4,"Enter smelter details",IF(ISERROR($V82),"",OFFSET('Smelter Look-up'!$F$4,$V82-4,0)))</f>
        <v/>
      </c>
      <c r="H82" s="216" t="str">
        <f ca="1">IF(ISERROR($V82),"",OFFSET('Smelter Look-up'!$G$4,$V82-4,0))</f>
        <v/>
      </c>
      <c r="I82" s="217" t="str">
        <f ca="1">IF(ISERROR($V82),"",OFFSET('Smelter Look-up'!$H$4,$V82-4,0))</f>
        <v/>
      </c>
      <c r="J82" s="217" t="str">
        <f ca="1">IF(ISERROR($V82),"",OFFSET('Smelter Look-up'!$I$4,$V82-4,0))</f>
        <v/>
      </c>
      <c r="K82" s="268"/>
      <c r="L82" s="268"/>
      <c r="M82" s="268"/>
      <c r="N82" s="268"/>
      <c r="O82" s="268"/>
      <c r="P82" s="218"/>
      <c r="Q82" s="269"/>
      <c r="R82" s="215" t="str">
        <f ca="1">IF(ISERROR($V82),"",OFFSET('Smelter Look-up'!$C$4,$V82-4,0)&amp;"")</f>
        <v/>
      </c>
      <c r="S82" s="222" t="str">
        <f t="shared" ca="1" si="12"/>
        <v/>
      </c>
      <c r="T82" s="222" t="str">
        <f ca="1">IF(B82="","",IF(ISERROR(MATCH($J82,SorP!$B$1:$B$6230,0)),"",INDIRECT("'SorP'!$A$"&amp;MATCH($J82,SorP!$B$1:$B$6230,0))))</f>
        <v/>
      </c>
      <c r="U82" s="238"/>
      <c r="V82" s="270" t="e">
        <f>IF(C82="",NA(),MATCH($B82&amp;$C82,'Smelter Look-up'!$J:$J,0))</f>
        <v>#N/A</v>
      </c>
      <c r="W82" s="271"/>
      <c r="X82" s="271">
        <f t="shared" ca="1" si="13"/>
        <v>0</v>
      </c>
      <c r="Y82" s="271"/>
      <c r="Z82" s="271"/>
      <c r="AB82" s="273" t="str">
        <f t="shared" si="14"/>
        <v/>
      </c>
    </row>
    <row r="83" spans="1:28" s="272" customFormat="1" ht="20.399999999999999">
      <c r="A83" s="214"/>
      <c r="B83" s="215" t="str">
        <f>IF(LEN(A83)=0,"",INDEX('Smelter Look-up'!$A:$A,MATCH($A83,'Smelter Look-up'!$E:$E,0)))</f>
        <v/>
      </c>
      <c r="C83" s="219" t="str">
        <f>IF(LEN(A83)=0,"",INDEX('Smelter Look-up'!$C:$C,MATCH($A83,'Smelter Look-up'!$E:$E,0)))</f>
        <v/>
      </c>
      <c r="D83" s="278"/>
      <c r="E83" s="215" t="str">
        <f ca="1">IF(ISERROR($V83),"",OFFSET('Smelter Look-up'!$D$4,$V83-4,0)&amp;"")</f>
        <v/>
      </c>
      <c r="F83" s="215" t="str">
        <f ca="1">IF(ISERROR($V83),"",OFFSET('Smelter Look-up'!$E$4,$V83-4,0))</f>
        <v/>
      </c>
      <c r="G83" s="215" t="str">
        <f ca="1">IF(C83=$X$4,"Enter smelter details",IF(ISERROR($V83),"",OFFSET('Smelter Look-up'!$F$4,$V83-4,0)))</f>
        <v/>
      </c>
      <c r="H83" s="216" t="str">
        <f ca="1">IF(ISERROR($V83),"",OFFSET('Smelter Look-up'!$G$4,$V83-4,0))</f>
        <v/>
      </c>
      <c r="I83" s="217" t="str">
        <f ca="1">IF(ISERROR($V83),"",OFFSET('Smelter Look-up'!$H$4,$V83-4,0))</f>
        <v/>
      </c>
      <c r="J83" s="217" t="str">
        <f ca="1">IF(ISERROR($V83),"",OFFSET('Smelter Look-up'!$I$4,$V83-4,0))</f>
        <v/>
      </c>
      <c r="K83" s="268"/>
      <c r="L83" s="268"/>
      <c r="M83" s="268"/>
      <c r="N83" s="268"/>
      <c r="O83" s="268"/>
      <c r="P83" s="218"/>
      <c r="Q83" s="269"/>
      <c r="R83" s="215" t="str">
        <f ca="1">IF(ISERROR($V83),"",OFFSET('Smelter Look-up'!$C$4,$V83-4,0)&amp;"")</f>
        <v/>
      </c>
      <c r="S83" s="222" t="str">
        <f t="shared" ca="1" si="12"/>
        <v/>
      </c>
      <c r="T83" s="222" t="str">
        <f ca="1">IF(B83="","",IF(ISERROR(MATCH($J83,SorP!$B$1:$B$6230,0)),"",INDIRECT("'SorP'!$A$"&amp;MATCH($J83,SorP!$B$1:$B$6230,0))))</f>
        <v/>
      </c>
      <c r="U83" s="238"/>
      <c r="V83" s="270" t="e">
        <f>IF(C83="",NA(),MATCH($B83&amp;$C83,'Smelter Look-up'!$J:$J,0))</f>
        <v>#N/A</v>
      </c>
      <c r="W83" s="271"/>
      <c r="X83" s="271">
        <f t="shared" ca="1" si="13"/>
        <v>0</v>
      </c>
      <c r="Y83" s="271"/>
      <c r="Z83" s="271"/>
      <c r="AB83" s="273" t="str">
        <f t="shared" si="14"/>
        <v/>
      </c>
    </row>
    <row r="84" spans="1:28" s="272" customFormat="1" ht="20.399999999999999">
      <c r="A84" s="214"/>
      <c r="B84" s="215" t="str">
        <f>IF(LEN(A84)=0,"",INDEX('Smelter Look-up'!$A:$A,MATCH($A84,'Smelter Look-up'!$E:$E,0)))</f>
        <v/>
      </c>
      <c r="C84" s="219" t="str">
        <f>IF(LEN(A84)=0,"",INDEX('Smelter Look-up'!$C:$C,MATCH($A84,'Smelter Look-up'!$E:$E,0)))</f>
        <v/>
      </c>
      <c r="D84" s="278"/>
      <c r="E84" s="215" t="str">
        <f ca="1">IF(ISERROR($V84),"",OFFSET('Smelter Look-up'!$D$4,$V84-4,0)&amp;"")</f>
        <v/>
      </c>
      <c r="F84" s="215" t="str">
        <f ca="1">IF(ISERROR($V84),"",OFFSET('Smelter Look-up'!$E$4,$V84-4,0))</f>
        <v/>
      </c>
      <c r="G84" s="215" t="str">
        <f ca="1">IF(C84=$X$4,"Enter smelter details",IF(ISERROR($V84),"",OFFSET('Smelter Look-up'!$F$4,$V84-4,0)))</f>
        <v/>
      </c>
      <c r="H84" s="216" t="str">
        <f ca="1">IF(ISERROR($V84),"",OFFSET('Smelter Look-up'!$G$4,$V84-4,0))</f>
        <v/>
      </c>
      <c r="I84" s="217" t="str">
        <f ca="1">IF(ISERROR($V84),"",OFFSET('Smelter Look-up'!$H$4,$V84-4,0))</f>
        <v/>
      </c>
      <c r="J84" s="217" t="str">
        <f ca="1">IF(ISERROR($V84),"",OFFSET('Smelter Look-up'!$I$4,$V84-4,0))</f>
        <v/>
      </c>
      <c r="K84" s="268"/>
      <c r="L84" s="268"/>
      <c r="M84" s="268"/>
      <c r="N84" s="268"/>
      <c r="O84" s="268"/>
      <c r="P84" s="218"/>
      <c r="Q84" s="269"/>
      <c r="R84" s="215" t="str">
        <f ca="1">IF(ISERROR($V84),"",OFFSET('Smelter Look-up'!$C$4,$V84-4,0)&amp;"")</f>
        <v/>
      </c>
      <c r="S84" s="222" t="str">
        <f t="shared" ca="1" si="12"/>
        <v/>
      </c>
      <c r="T84" s="222" t="str">
        <f ca="1">IF(B84="","",IF(ISERROR(MATCH($J84,SorP!$B$1:$B$6230,0)),"",INDIRECT("'SorP'!$A$"&amp;MATCH($J84,SorP!$B$1:$B$6230,0))))</f>
        <v/>
      </c>
      <c r="U84" s="238"/>
      <c r="V84" s="270" t="e">
        <f>IF(C84="",NA(),MATCH($B84&amp;$C84,'Smelter Look-up'!$J:$J,0))</f>
        <v>#N/A</v>
      </c>
      <c r="W84" s="271"/>
      <c r="X84" s="271">
        <f t="shared" ca="1" si="13"/>
        <v>0</v>
      </c>
      <c r="Y84" s="271"/>
      <c r="Z84" s="271"/>
      <c r="AB84" s="273" t="str">
        <f t="shared" si="14"/>
        <v/>
      </c>
    </row>
    <row r="85" spans="1:28" s="272" customFormat="1" ht="20.399999999999999">
      <c r="A85" s="214"/>
      <c r="B85" s="215" t="str">
        <f>IF(LEN(A85)=0,"",INDEX('Smelter Look-up'!$A:$A,MATCH($A85,'Smelter Look-up'!$E:$E,0)))</f>
        <v/>
      </c>
      <c r="C85" s="219" t="str">
        <f>IF(LEN(A85)=0,"",INDEX('Smelter Look-up'!$C:$C,MATCH($A85,'Smelter Look-up'!$E:$E,0)))</f>
        <v/>
      </c>
      <c r="D85" s="278"/>
      <c r="E85" s="215" t="str">
        <f ca="1">IF(ISERROR($V85),"",OFFSET('Smelter Look-up'!$D$4,$V85-4,0)&amp;"")</f>
        <v/>
      </c>
      <c r="F85" s="215" t="str">
        <f ca="1">IF(ISERROR($V85),"",OFFSET('Smelter Look-up'!$E$4,$V85-4,0))</f>
        <v/>
      </c>
      <c r="G85" s="215" t="str">
        <f ca="1">IF(C85=$X$4,"Enter smelter details",IF(ISERROR($V85),"",OFFSET('Smelter Look-up'!$F$4,$V85-4,0)))</f>
        <v/>
      </c>
      <c r="H85" s="216" t="str">
        <f ca="1">IF(ISERROR($V85),"",OFFSET('Smelter Look-up'!$G$4,$V85-4,0))</f>
        <v/>
      </c>
      <c r="I85" s="217" t="str">
        <f ca="1">IF(ISERROR($V85),"",OFFSET('Smelter Look-up'!$H$4,$V85-4,0))</f>
        <v/>
      </c>
      <c r="J85" s="217" t="str">
        <f ca="1">IF(ISERROR($V85),"",OFFSET('Smelter Look-up'!$I$4,$V85-4,0))</f>
        <v/>
      </c>
      <c r="K85" s="268"/>
      <c r="L85" s="268"/>
      <c r="M85" s="268"/>
      <c r="N85" s="268"/>
      <c r="O85" s="268"/>
      <c r="P85" s="218"/>
      <c r="Q85" s="269"/>
      <c r="R85" s="215" t="str">
        <f ca="1">IF(ISERROR($V85),"",OFFSET('Smelter Look-up'!$C$4,$V85-4,0)&amp;"")</f>
        <v/>
      </c>
      <c r="S85" s="222" t="str">
        <f t="shared" ca="1" si="12"/>
        <v/>
      </c>
      <c r="T85" s="222" t="str">
        <f ca="1">IF(B85="","",IF(ISERROR(MATCH($J85,SorP!$B$1:$B$6230,0)),"",INDIRECT("'SorP'!$A$"&amp;MATCH($J85,SorP!$B$1:$B$6230,0))))</f>
        <v/>
      </c>
      <c r="U85" s="238"/>
      <c r="V85" s="270" t="e">
        <f>IF(C85="",NA(),MATCH($B85&amp;$C85,'Smelter Look-up'!$J:$J,0))</f>
        <v>#N/A</v>
      </c>
      <c r="W85" s="271"/>
      <c r="X85" s="271">
        <f t="shared" ca="1" si="13"/>
        <v>0</v>
      </c>
      <c r="Y85" s="271"/>
      <c r="Z85" s="271"/>
      <c r="AB85" s="273" t="str">
        <f t="shared" si="14"/>
        <v/>
      </c>
    </row>
    <row r="86" spans="1:28" s="272" customFormat="1" ht="20.399999999999999">
      <c r="A86" s="214"/>
      <c r="B86" s="215" t="str">
        <f>IF(LEN(A86)=0,"",INDEX('Smelter Look-up'!$A:$A,MATCH($A86,'Smelter Look-up'!$E:$E,0)))</f>
        <v/>
      </c>
      <c r="C86" s="219" t="str">
        <f>IF(LEN(A86)=0,"",INDEX('Smelter Look-up'!$C:$C,MATCH($A86,'Smelter Look-up'!$E:$E,0)))</f>
        <v/>
      </c>
      <c r="D86" s="278"/>
      <c r="E86" s="215" t="str">
        <f ca="1">IF(ISERROR($V86),"",OFFSET('Smelter Look-up'!$D$4,$V86-4,0)&amp;"")</f>
        <v/>
      </c>
      <c r="F86" s="215" t="str">
        <f ca="1">IF(ISERROR($V86),"",OFFSET('Smelter Look-up'!$E$4,$V86-4,0))</f>
        <v/>
      </c>
      <c r="G86" s="215" t="str">
        <f ca="1">IF(C86=$X$4,"Enter smelter details",IF(ISERROR($V86),"",OFFSET('Smelter Look-up'!$F$4,$V86-4,0)))</f>
        <v/>
      </c>
      <c r="H86" s="216" t="str">
        <f ca="1">IF(ISERROR($V86),"",OFFSET('Smelter Look-up'!$G$4,$V86-4,0))</f>
        <v/>
      </c>
      <c r="I86" s="217" t="str">
        <f ca="1">IF(ISERROR($V86),"",OFFSET('Smelter Look-up'!$H$4,$V86-4,0))</f>
        <v/>
      </c>
      <c r="J86" s="217" t="str">
        <f ca="1">IF(ISERROR($V86),"",OFFSET('Smelter Look-up'!$I$4,$V86-4,0))</f>
        <v/>
      </c>
      <c r="K86" s="268"/>
      <c r="L86" s="268"/>
      <c r="M86" s="268"/>
      <c r="N86" s="268"/>
      <c r="O86" s="268"/>
      <c r="P86" s="218"/>
      <c r="Q86" s="269"/>
      <c r="R86" s="215" t="str">
        <f ca="1">IF(ISERROR($V86),"",OFFSET('Smelter Look-up'!$C$4,$V86-4,0)&amp;"")</f>
        <v/>
      </c>
      <c r="S86" s="222" t="str">
        <f t="shared" ca="1" si="12"/>
        <v/>
      </c>
      <c r="T86" s="222" t="str">
        <f ca="1">IF(B86="","",IF(ISERROR(MATCH($J86,SorP!$B$1:$B$6230,0)),"",INDIRECT("'SorP'!$A$"&amp;MATCH($J86,SorP!$B$1:$B$6230,0))))</f>
        <v/>
      </c>
      <c r="U86" s="238"/>
      <c r="V86" s="270" t="e">
        <f>IF(C86="",NA(),MATCH($B86&amp;$C86,'Smelter Look-up'!$J:$J,0))</f>
        <v>#N/A</v>
      </c>
      <c r="W86" s="271"/>
      <c r="X86" s="271">
        <f t="shared" ca="1" si="13"/>
        <v>0</v>
      </c>
      <c r="Y86" s="271"/>
      <c r="Z86" s="271"/>
      <c r="AB86" s="273" t="str">
        <f t="shared" si="14"/>
        <v/>
      </c>
    </row>
    <row r="87" spans="1:28" s="272" customFormat="1" ht="20.399999999999999">
      <c r="A87" s="214"/>
      <c r="B87" s="215" t="str">
        <f>IF(LEN(A87)=0,"",INDEX('Smelter Look-up'!$A:$A,MATCH($A87,'Smelter Look-up'!$E:$E,0)))</f>
        <v/>
      </c>
      <c r="C87" s="219" t="str">
        <f>IF(LEN(A87)=0,"",INDEX('Smelter Look-up'!$C:$C,MATCH($A87,'Smelter Look-up'!$E:$E,0)))</f>
        <v/>
      </c>
      <c r="D87" s="278"/>
      <c r="E87" s="215" t="str">
        <f ca="1">IF(ISERROR($V87),"",OFFSET('Smelter Look-up'!$D$4,$V87-4,0)&amp;"")</f>
        <v/>
      </c>
      <c r="F87" s="215" t="str">
        <f ca="1">IF(ISERROR($V87),"",OFFSET('Smelter Look-up'!$E$4,$V87-4,0))</f>
        <v/>
      </c>
      <c r="G87" s="215" t="str">
        <f ca="1">IF(C87=$X$4,"Enter smelter details",IF(ISERROR($V87),"",OFFSET('Smelter Look-up'!$F$4,$V87-4,0)))</f>
        <v/>
      </c>
      <c r="H87" s="216" t="str">
        <f ca="1">IF(ISERROR($V87),"",OFFSET('Smelter Look-up'!$G$4,$V87-4,0))</f>
        <v/>
      </c>
      <c r="I87" s="217" t="str">
        <f ca="1">IF(ISERROR($V87),"",OFFSET('Smelter Look-up'!$H$4,$V87-4,0))</f>
        <v/>
      </c>
      <c r="J87" s="217" t="str">
        <f ca="1">IF(ISERROR($V87),"",OFFSET('Smelter Look-up'!$I$4,$V87-4,0))</f>
        <v/>
      </c>
      <c r="K87" s="268"/>
      <c r="L87" s="268"/>
      <c r="M87" s="268"/>
      <c r="N87" s="268"/>
      <c r="O87" s="268"/>
      <c r="P87" s="218"/>
      <c r="Q87" s="269"/>
      <c r="R87" s="215" t="str">
        <f ca="1">IF(ISERROR($V87),"",OFFSET('Smelter Look-up'!$C$4,$V87-4,0)&amp;"")</f>
        <v/>
      </c>
      <c r="S87" s="222" t="str">
        <f t="shared" ca="1" si="12"/>
        <v/>
      </c>
      <c r="T87" s="222" t="str">
        <f ca="1">IF(B87="","",IF(ISERROR(MATCH($J87,SorP!$B$1:$B$6230,0)),"",INDIRECT("'SorP'!$A$"&amp;MATCH($J87,SorP!$B$1:$B$6230,0))))</f>
        <v/>
      </c>
      <c r="U87" s="238"/>
      <c r="V87" s="270" t="e">
        <f>IF(C87="",NA(),MATCH($B87&amp;$C87,'Smelter Look-up'!$J:$J,0))</f>
        <v>#N/A</v>
      </c>
      <c r="W87" s="271"/>
      <c r="X87" s="271">
        <f t="shared" ca="1" si="13"/>
        <v>0</v>
      </c>
      <c r="Y87" s="271"/>
      <c r="Z87" s="271"/>
      <c r="AB87" s="273" t="str">
        <f t="shared" si="14"/>
        <v/>
      </c>
    </row>
    <row r="88" spans="1:28" s="272" customFormat="1" ht="20.399999999999999">
      <c r="A88" s="214"/>
      <c r="B88" s="215" t="str">
        <f>IF(LEN(A88)=0,"",INDEX('Smelter Look-up'!$A:$A,MATCH($A88,'Smelter Look-up'!$E:$E,0)))</f>
        <v/>
      </c>
      <c r="C88" s="219" t="str">
        <f>IF(LEN(A88)=0,"",INDEX('Smelter Look-up'!$C:$C,MATCH($A88,'Smelter Look-up'!$E:$E,0)))</f>
        <v/>
      </c>
      <c r="D88" s="278"/>
      <c r="E88" s="215" t="str">
        <f ca="1">IF(ISERROR($V88),"",OFFSET('Smelter Look-up'!$D$4,$V88-4,0)&amp;"")</f>
        <v/>
      </c>
      <c r="F88" s="215" t="str">
        <f ca="1">IF(ISERROR($V88),"",OFFSET('Smelter Look-up'!$E$4,$V88-4,0))</f>
        <v/>
      </c>
      <c r="G88" s="215" t="str">
        <f ca="1">IF(C88=$X$4,"Enter smelter details",IF(ISERROR($V88),"",OFFSET('Smelter Look-up'!$F$4,$V88-4,0)))</f>
        <v/>
      </c>
      <c r="H88" s="216" t="str">
        <f ca="1">IF(ISERROR($V88),"",OFFSET('Smelter Look-up'!$G$4,$V88-4,0))</f>
        <v/>
      </c>
      <c r="I88" s="217" t="str">
        <f ca="1">IF(ISERROR($V88),"",OFFSET('Smelter Look-up'!$H$4,$V88-4,0))</f>
        <v/>
      </c>
      <c r="J88" s="217" t="str">
        <f ca="1">IF(ISERROR($V88),"",OFFSET('Smelter Look-up'!$I$4,$V88-4,0))</f>
        <v/>
      </c>
      <c r="K88" s="268"/>
      <c r="L88" s="268"/>
      <c r="M88" s="268"/>
      <c r="N88" s="268"/>
      <c r="O88" s="268"/>
      <c r="P88" s="218"/>
      <c r="Q88" s="269"/>
      <c r="R88" s="215" t="str">
        <f ca="1">IF(ISERROR($V88),"",OFFSET('Smelter Look-up'!$C$4,$V88-4,0)&amp;"")</f>
        <v/>
      </c>
      <c r="S88" s="222" t="str">
        <f t="shared" ca="1" si="12"/>
        <v/>
      </c>
      <c r="T88" s="222" t="str">
        <f ca="1">IF(B88="","",IF(ISERROR(MATCH($J88,SorP!$B$1:$B$6230,0)),"",INDIRECT("'SorP'!$A$"&amp;MATCH($J88,SorP!$B$1:$B$6230,0))))</f>
        <v/>
      </c>
      <c r="U88" s="238"/>
      <c r="V88" s="270" t="e">
        <f>IF(C88="",NA(),MATCH($B88&amp;$C88,'Smelter Look-up'!$J:$J,0))</f>
        <v>#N/A</v>
      </c>
      <c r="W88" s="271"/>
      <c r="X88" s="271">
        <f t="shared" ca="1" si="13"/>
        <v>0</v>
      </c>
      <c r="Y88" s="271"/>
      <c r="Z88" s="271"/>
      <c r="AB88" s="273" t="str">
        <f t="shared" si="14"/>
        <v/>
      </c>
    </row>
    <row r="89" spans="1:28" s="272" customFormat="1" ht="20.399999999999999">
      <c r="A89" s="214"/>
      <c r="B89" s="215" t="str">
        <f>IF(LEN(A89)=0,"",INDEX('Smelter Look-up'!$A:$A,MATCH($A89,'Smelter Look-up'!$E:$E,0)))</f>
        <v/>
      </c>
      <c r="C89" s="219" t="str">
        <f>IF(LEN(A89)=0,"",INDEX('Smelter Look-up'!$C:$C,MATCH($A89,'Smelter Look-up'!$E:$E,0)))</f>
        <v/>
      </c>
      <c r="D89" s="278"/>
      <c r="E89" s="215" t="str">
        <f ca="1">IF(ISERROR($V89),"",OFFSET('Smelter Look-up'!$D$4,$V89-4,0)&amp;"")</f>
        <v/>
      </c>
      <c r="F89" s="215" t="str">
        <f ca="1">IF(ISERROR($V89),"",OFFSET('Smelter Look-up'!$E$4,$V89-4,0))</f>
        <v/>
      </c>
      <c r="G89" s="215" t="str">
        <f ca="1">IF(C89=$X$4,"Enter smelter details",IF(ISERROR($V89),"",OFFSET('Smelter Look-up'!$F$4,$V89-4,0)))</f>
        <v/>
      </c>
      <c r="H89" s="216" t="str">
        <f ca="1">IF(ISERROR($V89),"",OFFSET('Smelter Look-up'!$G$4,$V89-4,0))</f>
        <v/>
      </c>
      <c r="I89" s="217" t="str">
        <f ca="1">IF(ISERROR($V89),"",OFFSET('Smelter Look-up'!$H$4,$V89-4,0))</f>
        <v/>
      </c>
      <c r="J89" s="217" t="str">
        <f ca="1">IF(ISERROR($V89),"",OFFSET('Smelter Look-up'!$I$4,$V89-4,0))</f>
        <v/>
      </c>
      <c r="K89" s="268"/>
      <c r="L89" s="268"/>
      <c r="M89" s="268"/>
      <c r="N89" s="268"/>
      <c r="O89" s="268"/>
      <c r="P89" s="218"/>
      <c r="Q89" s="269"/>
      <c r="R89" s="215" t="str">
        <f ca="1">IF(ISERROR($V89),"",OFFSET('Smelter Look-up'!$C$4,$V89-4,0)&amp;"")</f>
        <v/>
      </c>
      <c r="S89" s="222" t="str">
        <f t="shared" ca="1" si="12"/>
        <v/>
      </c>
      <c r="T89" s="222" t="str">
        <f ca="1">IF(B89="","",IF(ISERROR(MATCH($J89,SorP!$B$1:$B$6230,0)),"",INDIRECT("'SorP'!$A$"&amp;MATCH($J89,SorP!$B$1:$B$6230,0))))</f>
        <v/>
      </c>
      <c r="U89" s="238"/>
      <c r="V89" s="270" t="e">
        <f>IF(C89="",NA(),MATCH($B89&amp;$C89,'Smelter Look-up'!$J:$J,0))</f>
        <v>#N/A</v>
      </c>
      <c r="W89" s="271"/>
      <c r="X89" s="271">
        <f t="shared" ca="1" si="13"/>
        <v>0</v>
      </c>
      <c r="Y89" s="271"/>
      <c r="Z89" s="271"/>
      <c r="AB89" s="273" t="str">
        <f t="shared" si="14"/>
        <v/>
      </c>
    </row>
    <row r="90" spans="1:28" s="272" customFormat="1" ht="20.399999999999999">
      <c r="A90" s="214"/>
      <c r="B90" s="215" t="str">
        <f>IF(LEN(A90)=0,"",INDEX('Smelter Look-up'!$A:$A,MATCH($A90,'Smelter Look-up'!$E:$E,0)))</f>
        <v/>
      </c>
      <c r="C90" s="219" t="str">
        <f>IF(LEN(A90)=0,"",INDEX('Smelter Look-up'!$C:$C,MATCH($A90,'Smelter Look-up'!$E:$E,0)))</f>
        <v/>
      </c>
      <c r="D90" s="278"/>
      <c r="E90" s="215" t="str">
        <f ca="1">IF(ISERROR($V90),"",OFFSET('Smelter Look-up'!$D$4,$V90-4,0)&amp;"")</f>
        <v/>
      </c>
      <c r="F90" s="215" t="str">
        <f ca="1">IF(ISERROR($V90),"",OFFSET('Smelter Look-up'!$E$4,$V90-4,0))</f>
        <v/>
      </c>
      <c r="G90" s="215" t="str">
        <f ca="1">IF(C90=$X$4,"Enter smelter details",IF(ISERROR($V90),"",OFFSET('Smelter Look-up'!$F$4,$V90-4,0)))</f>
        <v/>
      </c>
      <c r="H90" s="216" t="str">
        <f ca="1">IF(ISERROR($V90),"",OFFSET('Smelter Look-up'!$G$4,$V90-4,0))</f>
        <v/>
      </c>
      <c r="I90" s="217" t="str">
        <f ca="1">IF(ISERROR($V90),"",OFFSET('Smelter Look-up'!$H$4,$V90-4,0))</f>
        <v/>
      </c>
      <c r="J90" s="217" t="str">
        <f ca="1">IF(ISERROR($V90),"",OFFSET('Smelter Look-up'!$I$4,$V90-4,0))</f>
        <v/>
      </c>
      <c r="K90" s="268"/>
      <c r="L90" s="268"/>
      <c r="M90" s="268"/>
      <c r="N90" s="268"/>
      <c r="O90" s="268"/>
      <c r="P90" s="218"/>
      <c r="Q90" s="269"/>
      <c r="R90" s="215" t="str">
        <f ca="1">IF(ISERROR($V90),"",OFFSET('Smelter Look-up'!$C$4,$V90-4,0)&amp;"")</f>
        <v/>
      </c>
      <c r="S90" s="222" t="str">
        <f t="shared" ca="1" si="12"/>
        <v/>
      </c>
      <c r="T90" s="222" t="str">
        <f ca="1">IF(B90="","",IF(ISERROR(MATCH($J90,SorP!$B$1:$B$6230,0)),"",INDIRECT("'SorP'!$A$"&amp;MATCH($J90,SorP!$B$1:$B$6230,0))))</f>
        <v/>
      </c>
      <c r="U90" s="238"/>
      <c r="V90" s="270" t="e">
        <f>IF(C90="",NA(),MATCH($B90&amp;$C90,'Smelter Look-up'!$J:$J,0))</f>
        <v>#N/A</v>
      </c>
      <c r="W90" s="271"/>
      <c r="X90" s="271">
        <f t="shared" ca="1" si="13"/>
        <v>0</v>
      </c>
      <c r="Y90" s="271"/>
      <c r="Z90" s="271"/>
      <c r="AB90" s="273" t="str">
        <f t="shared" si="14"/>
        <v/>
      </c>
    </row>
    <row r="91" spans="1:28" s="272" customFormat="1" ht="20.399999999999999">
      <c r="A91" s="214"/>
      <c r="B91" s="215" t="str">
        <f>IF(LEN(A91)=0,"",INDEX('Smelter Look-up'!$A:$A,MATCH($A91,'Smelter Look-up'!$E:$E,0)))</f>
        <v/>
      </c>
      <c r="C91" s="219" t="str">
        <f>IF(LEN(A91)=0,"",INDEX('Smelter Look-up'!$C:$C,MATCH($A91,'Smelter Look-up'!$E:$E,0)))</f>
        <v/>
      </c>
      <c r="D91" s="278"/>
      <c r="E91" s="215" t="str">
        <f ca="1">IF(ISERROR($V91),"",OFFSET('Smelter Look-up'!$D$4,$V91-4,0)&amp;"")</f>
        <v/>
      </c>
      <c r="F91" s="215" t="str">
        <f ca="1">IF(ISERROR($V91),"",OFFSET('Smelter Look-up'!$E$4,$V91-4,0))</f>
        <v/>
      </c>
      <c r="G91" s="215" t="str">
        <f ca="1">IF(C91=$X$4,"Enter smelter details",IF(ISERROR($V91),"",OFFSET('Smelter Look-up'!$F$4,$V91-4,0)))</f>
        <v/>
      </c>
      <c r="H91" s="216" t="str">
        <f ca="1">IF(ISERROR($V91),"",OFFSET('Smelter Look-up'!$G$4,$V91-4,0))</f>
        <v/>
      </c>
      <c r="I91" s="217" t="str">
        <f ca="1">IF(ISERROR($V91),"",OFFSET('Smelter Look-up'!$H$4,$V91-4,0))</f>
        <v/>
      </c>
      <c r="J91" s="217" t="str">
        <f ca="1">IF(ISERROR($V91),"",OFFSET('Smelter Look-up'!$I$4,$V91-4,0))</f>
        <v/>
      </c>
      <c r="K91" s="268"/>
      <c r="L91" s="268"/>
      <c r="M91" s="268"/>
      <c r="N91" s="268"/>
      <c r="O91" s="268"/>
      <c r="P91" s="218"/>
      <c r="Q91" s="269"/>
      <c r="R91" s="215" t="str">
        <f ca="1">IF(ISERROR($V91),"",OFFSET('Smelter Look-up'!$C$4,$V91-4,0)&amp;"")</f>
        <v/>
      </c>
      <c r="S91" s="222" t="str">
        <f t="shared" ca="1" si="12"/>
        <v/>
      </c>
      <c r="T91" s="222" t="str">
        <f ca="1">IF(B91="","",IF(ISERROR(MATCH($J91,SorP!$B$1:$B$6230,0)),"",INDIRECT("'SorP'!$A$"&amp;MATCH($J91,SorP!$B$1:$B$6230,0))))</f>
        <v/>
      </c>
      <c r="U91" s="238"/>
      <c r="V91" s="270" t="e">
        <f>IF(C91="",NA(),MATCH($B91&amp;$C91,'Smelter Look-up'!$J:$J,0))</f>
        <v>#N/A</v>
      </c>
      <c r="W91" s="271"/>
      <c r="X91" s="271">
        <f t="shared" ca="1" si="13"/>
        <v>0</v>
      </c>
      <c r="Y91" s="271"/>
      <c r="Z91" s="271"/>
      <c r="AB91" s="273" t="str">
        <f t="shared" si="14"/>
        <v/>
      </c>
    </row>
    <row r="92" spans="1:28" s="272" customFormat="1" ht="20.399999999999999">
      <c r="A92" s="214"/>
      <c r="B92" s="215" t="str">
        <f>IF(LEN(A92)=0,"",INDEX('Smelter Look-up'!$A:$A,MATCH($A92,'Smelter Look-up'!$E:$E,0)))</f>
        <v/>
      </c>
      <c r="C92" s="219" t="str">
        <f>IF(LEN(A92)=0,"",INDEX('Smelter Look-up'!$C:$C,MATCH($A92,'Smelter Look-up'!$E:$E,0)))</f>
        <v/>
      </c>
      <c r="D92" s="278"/>
      <c r="E92" s="215" t="str">
        <f ca="1">IF(ISERROR($V92),"",OFFSET('Smelter Look-up'!$D$4,$V92-4,0)&amp;"")</f>
        <v/>
      </c>
      <c r="F92" s="215" t="str">
        <f ca="1">IF(ISERROR($V92),"",OFFSET('Smelter Look-up'!$E$4,$V92-4,0))</f>
        <v/>
      </c>
      <c r="G92" s="215" t="str">
        <f ca="1">IF(C92=$X$4,"Enter smelter details",IF(ISERROR($V92),"",OFFSET('Smelter Look-up'!$F$4,$V92-4,0)))</f>
        <v/>
      </c>
      <c r="H92" s="216" t="str">
        <f ca="1">IF(ISERROR($V92),"",OFFSET('Smelter Look-up'!$G$4,$V92-4,0))</f>
        <v/>
      </c>
      <c r="I92" s="217" t="str">
        <f ca="1">IF(ISERROR($V92),"",OFFSET('Smelter Look-up'!$H$4,$V92-4,0))</f>
        <v/>
      </c>
      <c r="J92" s="217" t="str">
        <f ca="1">IF(ISERROR($V92),"",OFFSET('Smelter Look-up'!$I$4,$V92-4,0))</f>
        <v/>
      </c>
      <c r="K92" s="268"/>
      <c r="L92" s="268"/>
      <c r="M92" s="268"/>
      <c r="N92" s="268"/>
      <c r="O92" s="268"/>
      <c r="P92" s="218"/>
      <c r="Q92" s="269"/>
      <c r="R92" s="215" t="str">
        <f ca="1">IF(ISERROR($V92),"",OFFSET('Smelter Look-up'!$C$4,$V92-4,0)&amp;"")</f>
        <v/>
      </c>
      <c r="S92" s="222" t="str">
        <f t="shared" ca="1" si="12"/>
        <v/>
      </c>
      <c r="T92" s="222" t="str">
        <f ca="1">IF(B92="","",IF(ISERROR(MATCH($J92,SorP!$B$1:$B$6230,0)),"",INDIRECT("'SorP'!$A$"&amp;MATCH($J92,SorP!$B$1:$B$6230,0))))</f>
        <v/>
      </c>
      <c r="U92" s="238"/>
      <c r="V92" s="270" t="e">
        <f>IF(C92="",NA(),MATCH($B92&amp;$C92,'Smelter Look-up'!$J:$J,0))</f>
        <v>#N/A</v>
      </c>
      <c r="W92" s="271"/>
      <c r="X92" s="271">
        <f t="shared" ca="1" si="13"/>
        <v>0</v>
      </c>
      <c r="Y92" s="271"/>
      <c r="Z92" s="271"/>
      <c r="AB92" s="273" t="str">
        <f t="shared" si="14"/>
        <v/>
      </c>
    </row>
    <row r="93" spans="1:28" s="272" customFormat="1" ht="20.399999999999999">
      <c r="A93" s="214"/>
      <c r="B93" s="215" t="str">
        <f>IF(LEN(A93)=0,"",INDEX('Smelter Look-up'!$A:$A,MATCH($A93,'Smelter Look-up'!$E:$E,0)))</f>
        <v/>
      </c>
      <c r="C93" s="219" t="str">
        <f>IF(LEN(A93)=0,"",INDEX('Smelter Look-up'!$C:$C,MATCH($A93,'Smelter Look-up'!$E:$E,0)))</f>
        <v/>
      </c>
      <c r="D93" s="278"/>
      <c r="E93" s="215" t="str">
        <f ca="1">IF(ISERROR($V93),"",OFFSET('Smelter Look-up'!$D$4,$V93-4,0)&amp;"")</f>
        <v/>
      </c>
      <c r="F93" s="215" t="str">
        <f ca="1">IF(ISERROR($V93),"",OFFSET('Smelter Look-up'!$E$4,$V93-4,0))</f>
        <v/>
      </c>
      <c r="G93" s="215" t="str">
        <f ca="1">IF(C93=$X$4,"Enter smelter details",IF(ISERROR($V93),"",OFFSET('Smelter Look-up'!$F$4,$V93-4,0)))</f>
        <v/>
      </c>
      <c r="H93" s="216" t="str">
        <f ca="1">IF(ISERROR($V93),"",OFFSET('Smelter Look-up'!$G$4,$V93-4,0))</f>
        <v/>
      </c>
      <c r="I93" s="217" t="str">
        <f ca="1">IF(ISERROR($V93),"",OFFSET('Smelter Look-up'!$H$4,$V93-4,0))</f>
        <v/>
      </c>
      <c r="J93" s="217" t="str">
        <f ca="1">IF(ISERROR($V93),"",OFFSET('Smelter Look-up'!$I$4,$V93-4,0))</f>
        <v/>
      </c>
      <c r="K93" s="268"/>
      <c r="L93" s="268"/>
      <c r="M93" s="268"/>
      <c r="N93" s="268"/>
      <c r="O93" s="268"/>
      <c r="P93" s="218"/>
      <c r="Q93" s="269"/>
      <c r="R93" s="215" t="str">
        <f ca="1">IF(ISERROR($V93),"",OFFSET('Smelter Look-up'!$C$4,$V93-4,0)&amp;"")</f>
        <v/>
      </c>
      <c r="S93" s="222" t="str">
        <f t="shared" ca="1" si="12"/>
        <v/>
      </c>
      <c r="T93" s="222" t="str">
        <f ca="1">IF(B93="","",IF(ISERROR(MATCH($J93,SorP!$B$1:$B$6230,0)),"",INDIRECT("'SorP'!$A$"&amp;MATCH($J93,SorP!$B$1:$B$6230,0))))</f>
        <v/>
      </c>
      <c r="U93" s="238"/>
      <c r="V93" s="270" t="e">
        <f>IF(C93="",NA(),MATCH($B93&amp;$C93,'Smelter Look-up'!$J:$J,0))</f>
        <v>#N/A</v>
      </c>
      <c r="W93" s="271"/>
      <c r="X93" s="271">
        <f t="shared" ca="1" si="13"/>
        <v>0</v>
      </c>
      <c r="Y93" s="271"/>
      <c r="Z93" s="271"/>
      <c r="AB93" s="273" t="str">
        <f t="shared" si="14"/>
        <v/>
      </c>
    </row>
    <row r="94" spans="1:28" s="272" customFormat="1" ht="20.399999999999999">
      <c r="A94" s="214"/>
      <c r="B94" s="215" t="str">
        <f>IF(LEN(A94)=0,"",INDEX('Smelter Look-up'!$A:$A,MATCH($A94,'Smelter Look-up'!$E:$E,0)))</f>
        <v/>
      </c>
      <c r="C94" s="219" t="str">
        <f>IF(LEN(A94)=0,"",INDEX('Smelter Look-up'!$C:$C,MATCH($A94,'Smelter Look-up'!$E:$E,0)))</f>
        <v/>
      </c>
      <c r="D94" s="278"/>
      <c r="E94" s="215" t="str">
        <f ca="1">IF(ISERROR($V94),"",OFFSET('Smelter Look-up'!$D$4,$V94-4,0)&amp;"")</f>
        <v/>
      </c>
      <c r="F94" s="215" t="str">
        <f ca="1">IF(ISERROR($V94),"",OFFSET('Smelter Look-up'!$E$4,$V94-4,0))</f>
        <v/>
      </c>
      <c r="G94" s="215" t="str">
        <f ca="1">IF(C94=$X$4,"Enter smelter details",IF(ISERROR($V94),"",OFFSET('Smelter Look-up'!$F$4,$V94-4,0)))</f>
        <v/>
      </c>
      <c r="H94" s="216" t="str">
        <f ca="1">IF(ISERROR($V94),"",OFFSET('Smelter Look-up'!$G$4,$V94-4,0))</f>
        <v/>
      </c>
      <c r="I94" s="217" t="str">
        <f ca="1">IF(ISERROR($V94),"",OFFSET('Smelter Look-up'!$H$4,$V94-4,0))</f>
        <v/>
      </c>
      <c r="J94" s="217" t="str">
        <f ca="1">IF(ISERROR($V94),"",OFFSET('Smelter Look-up'!$I$4,$V94-4,0))</f>
        <v/>
      </c>
      <c r="K94" s="268"/>
      <c r="L94" s="268"/>
      <c r="M94" s="268"/>
      <c r="N94" s="268"/>
      <c r="O94" s="268"/>
      <c r="P94" s="218"/>
      <c r="Q94" s="269"/>
      <c r="R94" s="215" t="str">
        <f ca="1">IF(ISERROR($V94),"",OFFSET('Smelter Look-up'!$C$4,$V94-4,0)&amp;"")</f>
        <v/>
      </c>
      <c r="S94" s="222" t="str">
        <f t="shared" ca="1" si="12"/>
        <v/>
      </c>
      <c r="T94" s="222" t="str">
        <f ca="1">IF(B94="","",IF(ISERROR(MATCH($J94,SorP!$B$1:$B$6230,0)),"",INDIRECT("'SorP'!$A$"&amp;MATCH($J94,SorP!$B$1:$B$6230,0))))</f>
        <v/>
      </c>
      <c r="U94" s="238"/>
      <c r="V94" s="270" t="e">
        <f>IF(C94="",NA(),MATCH($B94&amp;$C94,'Smelter Look-up'!$J:$J,0))</f>
        <v>#N/A</v>
      </c>
      <c r="W94" s="271"/>
      <c r="X94" s="271">
        <f t="shared" ca="1" si="13"/>
        <v>0</v>
      </c>
      <c r="Y94" s="271"/>
      <c r="Z94" s="271"/>
      <c r="AB94" s="273" t="str">
        <f t="shared" si="14"/>
        <v/>
      </c>
    </row>
    <row r="95" spans="1:28" s="272" customFormat="1" ht="20.399999999999999">
      <c r="A95" s="214"/>
      <c r="B95" s="215" t="str">
        <f>IF(LEN(A95)=0,"",INDEX('Smelter Look-up'!$A:$A,MATCH($A95,'Smelter Look-up'!$E:$E,0)))</f>
        <v/>
      </c>
      <c r="C95" s="219" t="str">
        <f>IF(LEN(A95)=0,"",INDEX('Smelter Look-up'!$C:$C,MATCH($A95,'Smelter Look-up'!$E:$E,0)))</f>
        <v/>
      </c>
      <c r="D95" s="278"/>
      <c r="E95" s="215" t="str">
        <f ca="1">IF(ISERROR($V95),"",OFFSET('Smelter Look-up'!$D$4,$V95-4,0)&amp;"")</f>
        <v/>
      </c>
      <c r="F95" s="215" t="str">
        <f ca="1">IF(ISERROR($V95),"",OFFSET('Smelter Look-up'!$E$4,$V95-4,0))</f>
        <v/>
      </c>
      <c r="G95" s="215" t="str">
        <f ca="1">IF(C95=$X$4,"Enter smelter details",IF(ISERROR($V95),"",OFFSET('Smelter Look-up'!$F$4,$V95-4,0)))</f>
        <v/>
      </c>
      <c r="H95" s="216" t="str">
        <f ca="1">IF(ISERROR($V95),"",OFFSET('Smelter Look-up'!$G$4,$V95-4,0))</f>
        <v/>
      </c>
      <c r="I95" s="217" t="str">
        <f ca="1">IF(ISERROR($V95),"",OFFSET('Smelter Look-up'!$H$4,$V95-4,0))</f>
        <v/>
      </c>
      <c r="J95" s="217" t="str">
        <f ca="1">IF(ISERROR($V95),"",OFFSET('Smelter Look-up'!$I$4,$V95-4,0))</f>
        <v/>
      </c>
      <c r="K95" s="268"/>
      <c r="L95" s="268"/>
      <c r="M95" s="268"/>
      <c r="N95" s="268"/>
      <c r="O95" s="268"/>
      <c r="P95" s="218"/>
      <c r="Q95" s="269"/>
      <c r="R95" s="215" t="str">
        <f ca="1">IF(ISERROR($V95),"",OFFSET('Smelter Look-up'!$C$4,$V95-4,0)&amp;"")</f>
        <v/>
      </c>
      <c r="S95" s="222" t="str">
        <f t="shared" ca="1" si="12"/>
        <v/>
      </c>
      <c r="T95" s="222" t="str">
        <f ca="1">IF(B95="","",IF(ISERROR(MATCH($J95,SorP!$B$1:$B$6230,0)),"",INDIRECT("'SorP'!$A$"&amp;MATCH($J95,SorP!$B$1:$B$6230,0))))</f>
        <v/>
      </c>
      <c r="U95" s="238"/>
      <c r="V95" s="270" t="e">
        <f>IF(C95="",NA(),MATCH($B95&amp;$C95,'Smelter Look-up'!$J:$J,0))</f>
        <v>#N/A</v>
      </c>
      <c r="W95" s="271"/>
      <c r="X95" s="271">
        <f t="shared" ca="1" si="13"/>
        <v>0</v>
      </c>
      <c r="Y95" s="271"/>
      <c r="Z95" s="271"/>
      <c r="AB95" s="273" t="str">
        <f t="shared" si="14"/>
        <v/>
      </c>
    </row>
    <row r="96" spans="1:28" s="272" customFormat="1" ht="20.399999999999999">
      <c r="A96" s="214"/>
      <c r="B96" s="215" t="str">
        <f>IF(LEN(A96)=0,"",INDEX('Smelter Look-up'!$A:$A,MATCH($A96,'Smelter Look-up'!$E:$E,0)))</f>
        <v/>
      </c>
      <c r="C96" s="219" t="str">
        <f>IF(LEN(A96)=0,"",INDEX('Smelter Look-up'!$C:$C,MATCH($A96,'Smelter Look-up'!$E:$E,0)))</f>
        <v/>
      </c>
      <c r="D96" s="278"/>
      <c r="E96" s="215" t="str">
        <f ca="1">IF(ISERROR($V96),"",OFFSET('Smelter Look-up'!$D$4,$V96-4,0)&amp;"")</f>
        <v/>
      </c>
      <c r="F96" s="215" t="str">
        <f ca="1">IF(ISERROR($V96),"",OFFSET('Smelter Look-up'!$E$4,$V96-4,0))</f>
        <v/>
      </c>
      <c r="G96" s="215" t="str">
        <f ca="1">IF(C96=$X$4,"Enter smelter details",IF(ISERROR($V96),"",OFFSET('Smelter Look-up'!$F$4,$V96-4,0)))</f>
        <v/>
      </c>
      <c r="H96" s="216" t="str">
        <f ca="1">IF(ISERROR($V96),"",OFFSET('Smelter Look-up'!$G$4,$V96-4,0))</f>
        <v/>
      </c>
      <c r="I96" s="217" t="str">
        <f ca="1">IF(ISERROR($V96),"",OFFSET('Smelter Look-up'!$H$4,$V96-4,0))</f>
        <v/>
      </c>
      <c r="J96" s="217" t="str">
        <f ca="1">IF(ISERROR($V96),"",OFFSET('Smelter Look-up'!$I$4,$V96-4,0))</f>
        <v/>
      </c>
      <c r="K96" s="268"/>
      <c r="L96" s="268"/>
      <c r="M96" s="268"/>
      <c r="N96" s="268"/>
      <c r="O96" s="268"/>
      <c r="P96" s="218"/>
      <c r="Q96" s="269"/>
      <c r="R96" s="215" t="str">
        <f ca="1">IF(ISERROR($V96),"",OFFSET('Smelter Look-up'!$C$4,$V96-4,0)&amp;"")</f>
        <v/>
      </c>
      <c r="S96" s="222" t="str">
        <f t="shared" ca="1" si="12"/>
        <v/>
      </c>
      <c r="T96" s="222" t="str">
        <f ca="1">IF(B96="","",IF(ISERROR(MATCH($J96,SorP!$B$1:$B$6230,0)),"",INDIRECT("'SorP'!$A$"&amp;MATCH($J96,SorP!$B$1:$B$6230,0))))</f>
        <v/>
      </c>
      <c r="U96" s="238"/>
      <c r="V96" s="270" t="e">
        <f>IF(C96="",NA(),MATCH($B96&amp;$C96,'Smelter Look-up'!$J:$J,0))</f>
        <v>#N/A</v>
      </c>
      <c r="W96" s="271"/>
      <c r="X96" s="271">
        <f t="shared" ca="1" si="13"/>
        <v>0</v>
      </c>
      <c r="Y96" s="271"/>
      <c r="Z96" s="271"/>
      <c r="AB96" s="273" t="str">
        <f t="shared" si="14"/>
        <v/>
      </c>
    </row>
    <row r="97" spans="1:28" s="272" customFormat="1" ht="20.399999999999999">
      <c r="A97" s="214"/>
      <c r="B97" s="215" t="str">
        <f>IF(LEN(A97)=0,"",INDEX('Smelter Look-up'!$A:$A,MATCH($A97,'Smelter Look-up'!$E:$E,0)))</f>
        <v/>
      </c>
      <c r="C97" s="219" t="str">
        <f>IF(LEN(A97)=0,"",INDEX('Smelter Look-up'!$C:$C,MATCH($A97,'Smelter Look-up'!$E:$E,0)))</f>
        <v/>
      </c>
      <c r="D97" s="278"/>
      <c r="E97" s="215" t="str">
        <f ca="1">IF(ISERROR($V97),"",OFFSET('Smelter Look-up'!$D$4,$V97-4,0)&amp;"")</f>
        <v/>
      </c>
      <c r="F97" s="215" t="str">
        <f ca="1">IF(ISERROR($V97),"",OFFSET('Smelter Look-up'!$E$4,$V97-4,0))</f>
        <v/>
      </c>
      <c r="G97" s="215" t="str">
        <f ca="1">IF(C97=$X$4,"Enter smelter details",IF(ISERROR($V97),"",OFFSET('Smelter Look-up'!$F$4,$V97-4,0)))</f>
        <v/>
      </c>
      <c r="H97" s="216" t="str">
        <f ca="1">IF(ISERROR($V97),"",OFFSET('Smelter Look-up'!$G$4,$V97-4,0))</f>
        <v/>
      </c>
      <c r="I97" s="217" t="str">
        <f ca="1">IF(ISERROR($V97),"",OFFSET('Smelter Look-up'!$H$4,$V97-4,0))</f>
        <v/>
      </c>
      <c r="J97" s="217" t="str">
        <f ca="1">IF(ISERROR($V97),"",OFFSET('Smelter Look-up'!$I$4,$V97-4,0))</f>
        <v/>
      </c>
      <c r="K97" s="268"/>
      <c r="L97" s="268"/>
      <c r="M97" s="268"/>
      <c r="N97" s="268"/>
      <c r="O97" s="268"/>
      <c r="P97" s="218"/>
      <c r="Q97" s="269"/>
      <c r="R97" s="215" t="str">
        <f ca="1">IF(ISERROR($V97),"",OFFSET('Smelter Look-up'!$C$4,$V97-4,0)&amp;"")</f>
        <v/>
      </c>
      <c r="S97" s="222" t="str">
        <f t="shared" ca="1" si="12"/>
        <v/>
      </c>
      <c r="T97" s="222" t="str">
        <f ca="1">IF(B97="","",IF(ISERROR(MATCH($J97,SorP!$B$1:$B$6230,0)),"",INDIRECT("'SorP'!$A$"&amp;MATCH($J97,SorP!$B$1:$B$6230,0))))</f>
        <v/>
      </c>
      <c r="U97" s="238"/>
      <c r="V97" s="270" t="e">
        <f>IF(C97="",NA(),MATCH($B97&amp;$C97,'Smelter Look-up'!$J:$J,0))</f>
        <v>#N/A</v>
      </c>
      <c r="W97" s="271"/>
      <c r="X97" s="271">
        <f t="shared" ca="1" si="13"/>
        <v>0</v>
      </c>
      <c r="Y97" s="271"/>
      <c r="Z97" s="271"/>
      <c r="AB97" s="273" t="str">
        <f t="shared" si="14"/>
        <v/>
      </c>
    </row>
    <row r="98" spans="1:28" s="272" customFormat="1" ht="20.399999999999999">
      <c r="A98" s="214"/>
      <c r="B98" s="215" t="str">
        <f>IF(LEN(A98)=0,"",INDEX('Smelter Look-up'!$A:$A,MATCH($A98,'Smelter Look-up'!$E:$E,0)))</f>
        <v/>
      </c>
      <c r="C98" s="219" t="str">
        <f>IF(LEN(A98)=0,"",INDEX('Smelter Look-up'!$C:$C,MATCH($A98,'Smelter Look-up'!$E:$E,0)))</f>
        <v/>
      </c>
      <c r="D98" s="278"/>
      <c r="E98" s="215" t="str">
        <f ca="1">IF(ISERROR($V98),"",OFFSET('Smelter Look-up'!$D$4,$V98-4,0)&amp;"")</f>
        <v/>
      </c>
      <c r="F98" s="215" t="str">
        <f ca="1">IF(ISERROR($V98),"",OFFSET('Smelter Look-up'!$E$4,$V98-4,0))</f>
        <v/>
      </c>
      <c r="G98" s="215" t="str">
        <f ca="1">IF(C98=$X$4,"Enter smelter details",IF(ISERROR($V98),"",OFFSET('Smelter Look-up'!$F$4,$V98-4,0)))</f>
        <v/>
      </c>
      <c r="H98" s="216" t="str">
        <f ca="1">IF(ISERROR($V98),"",OFFSET('Smelter Look-up'!$G$4,$V98-4,0))</f>
        <v/>
      </c>
      <c r="I98" s="217" t="str">
        <f ca="1">IF(ISERROR($V98),"",OFFSET('Smelter Look-up'!$H$4,$V98-4,0))</f>
        <v/>
      </c>
      <c r="J98" s="217" t="str">
        <f ca="1">IF(ISERROR($V98),"",OFFSET('Smelter Look-up'!$I$4,$V98-4,0))</f>
        <v/>
      </c>
      <c r="K98" s="268"/>
      <c r="L98" s="268"/>
      <c r="M98" s="268"/>
      <c r="N98" s="268"/>
      <c r="O98" s="268"/>
      <c r="P98" s="218"/>
      <c r="Q98" s="269"/>
      <c r="R98" s="215" t="str">
        <f ca="1">IF(ISERROR($V98),"",OFFSET('Smelter Look-up'!$C$4,$V98-4,0)&amp;"")</f>
        <v/>
      </c>
      <c r="S98" s="222" t="str">
        <f t="shared" ca="1" si="12"/>
        <v/>
      </c>
      <c r="T98" s="222" t="str">
        <f ca="1">IF(B98="","",IF(ISERROR(MATCH($J98,SorP!$B$1:$B$6230,0)),"",INDIRECT("'SorP'!$A$"&amp;MATCH($J98,SorP!$B$1:$B$6230,0))))</f>
        <v/>
      </c>
      <c r="U98" s="238"/>
      <c r="V98" s="270" t="e">
        <f>IF(C98="",NA(),MATCH($B98&amp;$C98,'Smelter Look-up'!$J:$J,0))</f>
        <v>#N/A</v>
      </c>
      <c r="W98" s="271"/>
      <c r="X98" s="271">
        <f t="shared" ca="1" si="13"/>
        <v>0</v>
      </c>
      <c r="Y98" s="271"/>
      <c r="Z98" s="271"/>
      <c r="AB98" s="273" t="str">
        <f t="shared" si="14"/>
        <v/>
      </c>
    </row>
    <row r="99" spans="1:28" s="272" customFormat="1" ht="20.399999999999999">
      <c r="A99" s="214"/>
      <c r="B99" s="215" t="str">
        <f>IF(LEN(A99)=0,"",INDEX('Smelter Look-up'!$A:$A,MATCH($A99,'Smelter Look-up'!$E:$E,0)))</f>
        <v/>
      </c>
      <c r="C99" s="219" t="str">
        <f>IF(LEN(A99)=0,"",INDEX('Smelter Look-up'!$C:$C,MATCH($A99,'Smelter Look-up'!$E:$E,0)))</f>
        <v/>
      </c>
      <c r="D99" s="278"/>
      <c r="E99" s="215" t="str">
        <f ca="1">IF(ISERROR($V99),"",OFFSET('Smelter Look-up'!$D$4,$V99-4,0)&amp;"")</f>
        <v/>
      </c>
      <c r="F99" s="215" t="str">
        <f ca="1">IF(ISERROR($V99),"",OFFSET('Smelter Look-up'!$E$4,$V99-4,0))</f>
        <v/>
      </c>
      <c r="G99" s="215" t="str">
        <f ca="1">IF(C99=$X$4,"Enter smelter details",IF(ISERROR($V99),"",OFFSET('Smelter Look-up'!$F$4,$V99-4,0)))</f>
        <v/>
      </c>
      <c r="H99" s="216" t="str">
        <f ca="1">IF(ISERROR($V99),"",OFFSET('Smelter Look-up'!$G$4,$V99-4,0))</f>
        <v/>
      </c>
      <c r="I99" s="217" t="str">
        <f ca="1">IF(ISERROR($V99),"",OFFSET('Smelter Look-up'!$H$4,$V99-4,0))</f>
        <v/>
      </c>
      <c r="J99" s="217" t="str">
        <f ca="1">IF(ISERROR($V99),"",OFFSET('Smelter Look-up'!$I$4,$V99-4,0))</f>
        <v/>
      </c>
      <c r="K99" s="268"/>
      <c r="L99" s="268"/>
      <c r="M99" s="268"/>
      <c r="N99" s="268"/>
      <c r="O99" s="268"/>
      <c r="P99" s="218"/>
      <c r="Q99" s="269"/>
      <c r="R99" s="215" t="str">
        <f ca="1">IF(ISERROR($V99),"",OFFSET('Smelter Look-up'!$C$4,$V99-4,0)&amp;"")</f>
        <v/>
      </c>
      <c r="S99" s="222" t="str">
        <f t="shared" ca="1" si="12"/>
        <v/>
      </c>
      <c r="T99" s="222" t="str">
        <f ca="1">IF(B99="","",IF(ISERROR(MATCH($J99,SorP!$B$1:$B$6230,0)),"",INDIRECT("'SorP'!$A$"&amp;MATCH($J99,SorP!$B$1:$B$6230,0))))</f>
        <v/>
      </c>
      <c r="U99" s="238"/>
      <c r="V99" s="270" t="e">
        <f>IF(C99="",NA(),MATCH($B99&amp;$C99,'Smelter Look-up'!$J:$J,0))</f>
        <v>#N/A</v>
      </c>
      <c r="W99" s="271"/>
      <c r="X99" s="271">
        <f t="shared" ca="1" si="13"/>
        <v>0</v>
      </c>
      <c r="Y99" s="271"/>
      <c r="Z99" s="271"/>
      <c r="AB99" s="273" t="str">
        <f t="shared" si="14"/>
        <v/>
      </c>
    </row>
    <row r="100" spans="1:28" s="272" customFormat="1" ht="20.399999999999999">
      <c r="A100" s="214"/>
      <c r="B100" s="215" t="str">
        <f>IF(LEN(A100)=0,"",INDEX('Smelter Look-up'!$A:$A,MATCH($A100,'Smelter Look-up'!$E:$E,0)))</f>
        <v/>
      </c>
      <c r="C100" s="219" t="str">
        <f>IF(LEN(A100)=0,"",INDEX('Smelter Look-up'!$C:$C,MATCH($A100,'Smelter Look-up'!$E:$E,0)))</f>
        <v/>
      </c>
      <c r="D100" s="278"/>
      <c r="E100" s="215" t="str">
        <f ca="1">IF(ISERROR($V100),"",OFFSET('Smelter Look-up'!$D$4,$V100-4,0)&amp;"")</f>
        <v/>
      </c>
      <c r="F100" s="215" t="str">
        <f ca="1">IF(ISERROR($V100),"",OFFSET('Smelter Look-up'!$E$4,$V100-4,0))</f>
        <v/>
      </c>
      <c r="G100" s="215" t="str">
        <f ca="1">IF(C100=$X$4,"Enter smelter details",IF(ISERROR($V100),"",OFFSET('Smelter Look-up'!$F$4,$V100-4,0)))</f>
        <v/>
      </c>
      <c r="H100" s="216" t="str">
        <f ca="1">IF(ISERROR($V100),"",OFFSET('Smelter Look-up'!$G$4,$V100-4,0))</f>
        <v/>
      </c>
      <c r="I100" s="217" t="str">
        <f ca="1">IF(ISERROR($V100),"",OFFSET('Smelter Look-up'!$H$4,$V100-4,0))</f>
        <v/>
      </c>
      <c r="J100" s="217" t="str">
        <f ca="1">IF(ISERROR($V100),"",OFFSET('Smelter Look-up'!$I$4,$V100-4,0))</f>
        <v/>
      </c>
      <c r="K100" s="268"/>
      <c r="L100" s="268"/>
      <c r="M100" s="268"/>
      <c r="N100" s="268"/>
      <c r="O100" s="268"/>
      <c r="P100" s="218"/>
      <c r="Q100" s="269"/>
      <c r="R100" s="215" t="str">
        <f ca="1">IF(ISERROR($V100),"",OFFSET('Smelter Look-up'!$C$4,$V100-4,0)&amp;"")</f>
        <v/>
      </c>
      <c r="S100" s="222" t="str">
        <f t="shared" ca="1" si="12"/>
        <v/>
      </c>
      <c r="T100" s="222" t="str">
        <f ca="1">IF(B100="","",IF(ISERROR(MATCH($J100,SorP!$B$1:$B$6230,0)),"",INDIRECT("'SorP'!$A$"&amp;MATCH($J100,SorP!$B$1:$B$6230,0))))</f>
        <v/>
      </c>
      <c r="U100" s="238"/>
      <c r="V100" s="270" t="e">
        <f>IF(C100="",NA(),MATCH($B100&amp;$C100,'Smelter Look-up'!$J:$J,0))</f>
        <v>#N/A</v>
      </c>
      <c r="W100" s="271"/>
      <c r="X100" s="271">
        <f t="shared" ca="1" si="13"/>
        <v>0</v>
      </c>
      <c r="Y100" s="271"/>
      <c r="Z100" s="271"/>
      <c r="AB100" s="273" t="str">
        <f t="shared" si="14"/>
        <v/>
      </c>
    </row>
    <row r="101" spans="1:28" s="272" customFormat="1" ht="20.399999999999999">
      <c r="A101" s="214"/>
      <c r="B101" s="215" t="str">
        <f>IF(LEN(A101)=0,"",INDEX('Smelter Look-up'!$A:$A,MATCH($A101,'Smelter Look-up'!$E:$E,0)))</f>
        <v/>
      </c>
      <c r="C101" s="219" t="str">
        <f>IF(LEN(A101)=0,"",INDEX('Smelter Look-up'!$C:$C,MATCH($A101,'Smelter Look-up'!$E:$E,0)))</f>
        <v/>
      </c>
      <c r="D101" s="278"/>
      <c r="E101" s="215" t="str">
        <f ca="1">IF(ISERROR($V101),"",OFFSET('Smelter Look-up'!$D$4,$V101-4,0)&amp;"")</f>
        <v/>
      </c>
      <c r="F101" s="215" t="str">
        <f ca="1">IF(ISERROR($V101),"",OFFSET('Smelter Look-up'!$E$4,$V101-4,0))</f>
        <v/>
      </c>
      <c r="G101" s="215" t="str">
        <f ca="1">IF(C101=$X$4,"Enter smelter details",IF(ISERROR($V101),"",OFFSET('Smelter Look-up'!$F$4,$V101-4,0)))</f>
        <v/>
      </c>
      <c r="H101" s="216" t="str">
        <f ca="1">IF(ISERROR($V101),"",OFFSET('Smelter Look-up'!$G$4,$V101-4,0))</f>
        <v/>
      </c>
      <c r="I101" s="217" t="str">
        <f ca="1">IF(ISERROR($V101),"",OFFSET('Smelter Look-up'!$H$4,$V101-4,0))</f>
        <v/>
      </c>
      <c r="J101" s="217" t="str">
        <f ca="1">IF(ISERROR($V101),"",OFFSET('Smelter Look-up'!$I$4,$V101-4,0))</f>
        <v/>
      </c>
      <c r="K101" s="268"/>
      <c r="L101" s="268"/>
      <c r="M101" s="268"/>
      <c r="N101" s="268"/>
      <c r="O101" s="268"/>
      <c r="P101" s="218"/>
      <c r="Q101" s="269"/>
      <c r="R101" s="215" t="str">
        <f ca="1">IF(ISERROR($V101),"",OFFSET('Smelter Look-up'!$C$4,$V101-4,0)&amp;"")</f>
        <v/>
      </c>
      <c r="S101" s="222" t="str">
        <f t="shared" ca="1" si="12"/>
        <v/>
      </c>
      <c r="T101" s="222" t="str">
        <f ca="1">IF(B101="","",IF(ISERROR(MATCH($J101,SorP!$B$1:$B$6230,0)),"",INDIRECT("'SorP'!$A$"&amp;MATCH($J101,SorP!$B$1:$B$6230,0))))</f>
        <v/>
      </c>
      <c r="U101" s="238"/>
      <c r="V101" s="270" t="e">
        <f>IF(C101="",NA(),MATCH($B101&amp;$C101,'Smelter Look-up'!$J:$J,0))</f>
        <v>#N/A</v>
      </c>
      <c r="W101" s="271"/>
      <c r="X101" s="271">
        <f t="shared" ca="1" si="13"/>
        <v>0</v>
      </c>
      <c r="Y101" s="271"/>
      <c r="Z101" s="271"/>
      <c r="AB101" s="273" t="str">
        <f t="shared" si="14"/>
        <v/>
      </c>
    </row>
    <row r="102" spans="1:28" s="272" customFormat="1" ht="20.399999999999999">
      <c r="A102" s="214"/>
      <c r="B102" s="215" t="str">
        <f>IF(LEN(A102)=0,"",INDEX('Smelter Look-up'!$A:$A,MATCH($A102,'Smelter Look-up'!$E:$E,0)))</f>
        <v/>
      </c>
      <c r="C102" s="219" t="str">
        <f>IF(LEN(A102)=0,"",INDEX('Smelter Look-up'!$C:$C,MATCH($A102,'Smelter Look-up'!$E:$E,0)))</f>
        <v/>
      </c>
      <c r="D102" s="278"/>
      <c r="E102" s="215" t="str">
        <f ca="1">IF(ISERROR($V102),"",OFFSET('Smelter Look-up'!$D$4,$V102-4,0)&amp;"")</f>
        <v/>
      </c>
      <c r="F102" s="215" t="str">
        <f ca="1">IF(ISERROR($V102),"",OFFSET('Smelter Look-up'!$E$4,$V102-4,0))</f>
        <v/>
      </c>
      <c r="G102" s="215" t="str">
        <f ca="1">IF(C102=$X$4,"Enter smelter details",IF(ISERROR($V102),"",OFFSET('Smelter Look-up'!$F$4,$V102-4,0)))</f>
        <v/>
      </c>
      <c r="H102" s="216" t="str">
        <f ca="1">IF(ISERROR($V102),"",OFFSET('Smelter Look-up'!$G$4,$V102-4,0))</f>
        <v/>
      </c>
      <c r="I102" s="217" t="str">
        <f ca="1">IF(ISERROR($V102),"",OFFSET('Smelter Look-up'!$H$4,$V102-4,0))</f>
        <v/>
      </c>
      <c r="J102" s="217" t="str">
        <f ca="1">IF(ISERROR($V102),"",OFFSET('Smelter Look-up'!$I$4,$V102-4,0))</f>
        <v/>
      </c>
      <c r="K102" s="268"/>
      <c r="L102" s="268"/>
      <c r="M102" s="268"/>
      <c r="N102" s="268"/>
      <c r="O102" s="268"/>
      <c r="P102" s="218"/>
      <c r="Q102" s="269"/>
      <c r="R102" s="215" t="str">
        <f ca="1">IF(ISERROR($V102),"",OFFSET('Smelter Look-up'!$C$4,$V102-4,0)&amp;"")</f>
        <v/>
      </c>
      <c r="S102" s="222" t="str">
        <f t="shared" ref="S102:S132" ca="1" si="15">IF(B102="","",IF(ISERROR(MATCH($E102,CL,0)),"Unknown",INDIRECT("'C'!$A$"&amp;MATCH($E102,CL,0)+1)))</f>
        <v/>
      </c>
      <c r="T102" s="222" t="str">
        <f ca="1">IF(B102="","",IF(ISERROR(MATCH($J102,SorP!$B$1:$B$6230,0)),"",INDIRECT("'SorP'!$A$"&amp;MATCH($J102,SorP!$B$1:$B$6230,0))))</f>
        <v/>
      </c>
      <c r="U102" s="238"/>
      <c r="V102" s="270" t="e">
        <f>IF(C102="",NA(),MATCH($B102&amp;$C102,'Smelter Look-up'!$J:$J,0))</f>
        <v>#N/A</v>
      </c>
      <c r="W102" s="271"/>
      <c r="X102" s="271">
        <f t="shared" ref="X102:X132" ca="1" si="16">IF(AND(C102="Smelter not listed",OR(LEN(D102)=0,LEN(E102)=0)),1,0)</f>
        <v>0</v>
      </c>
      <c r="Y102" s="271"/>
      <c r="Z102" s="271"/>
      <c r="AB102" s="273" t="str">
        <f t="shared" ref="AB102:AB132" si="17">B102&amp;C102</f>
        <v/>
      </c>
    </row>
    <row r="103" spans="1:28" s="272" customFormat="1" ht="20.399999999999999">
      <c r="A103" s="214"/>
      <c r="B103" s="215" t="str">
        <f>IF(LEN(A103)=0,"",INDEX('Smelter Look-up'!$A:$A,MATCH($A103,'Smelter Look-up'!$E:$E,0)))</f>
        <v/>
      </c>
      <c r="C103" s="219" t="str">
        <f>IF(LEN(A103)=0,"",INDEX('Smelter Look-up'!$C:$C,MATCH($A103,'Smelter Look-up'!$E:$E,0)))</f>
        <v/>
      </c>
      <c r="D103" s="278"/>
      <c r="E103" s="215" t="str">
        <f ca="1">IF(ISERROR($V103),"",OFFSET('Smelter Look-up'!$D$4,$V103-4,0)&amp;"")</f>
        <v/>
      </c>
      <c r="F103" s="215" t="str">
        <f ca="1">IF(ISERROR($V103),"",OFFSET('Smelter Look-up'!$E$4,$V103-4,0))</f>
        <v/>
      </c>
      <c r="G103" s="215" t="str">
        <f ca="1">IF(C103=$X$4,"Enter smelter details",IF(ISERROR($V103),"",OFFSET('Smelter Look-up'!$F$4,$V103-4,0)))</f>
        <v/>
      </c>
      <c r="H103" s="216" t="str">
        <f ca="1">IF(ISERROR($V103),"",OFFSET('Smelter Look-up'!$G$4,$V103-4,0))</f>
        <v/>
      </c>
      <c r="I103" s="217" t="str">
        <f ca="1">IF(ISERROR($V103),"",OFFSET('Smelter Look-up'!$H$4,$V103-4,0))</f>
        <v/>
      </c>
      <c r="J103" s="217" t="str">
        <f ca="1">IF(ISERROR($V103),"",OFFSET('Smelter Look-up'!$I$4,$V103-4,0))</f>
        <v/>
      </c>
      <c r="K103" s="268"/>
      <c r="L103" s="268"/>
      <c r="M103" s="268"/>
      <c r="N103" s="268"/>
      <c r="O103" s="268"/>
      <c r="P103" s="218"/>
      <c r="Q103" s="269"/>
      <c r="R103" s="215" t="str">
        <f ca="1">IF(ISERROR($V103),"",OFFSET('Smelter Look-up'!$C$4,$V103-4,0)&amp;"")</f>
        <v/>
      </c>
      <c r="S103" s="222" t="str">
        <f t="shared" ca="1" si="15"/>
        <v/>
      </c>
      <c r="T103" s="222" t="str">
        <f ca="1">IF(B103="","",IF(ISERROR(MATCH($J103,SorP!$B$1:$B$6230,0)),"",INDIRECT("'SorP'!$A$"&amp;MATCH($J103,SorP!$B$1:$B$6230,0))))</f>
        <v/>
      </c>
      <c r="U103" s="238"/>
      <c r="V103" s="270" t="e">
        <f>IF(C103="",NA(),MATCH($B103&amp;$C103,'Smelter Look-up'!$J:$J,0))</f>
        <v>#N/A</v>
      </c>
      <c r="W103" s="271"/>
      <c r="X103" s="271">
        <f t="shared" ca="1" si="16"/>
        <v>0</v>
      </c>
      <c r="Y103" s="271"/>
      <c r="Z103" s="271"/>
      <c r="AB103" s="273" t="str">
        <f t="shared" si="17"/>
        <v/>
      </c>
    </row>
    <row r="104" spans="1:28" s="272" customFormat="1" ht="20.399999999999999">
      <c r="A104" s="214"/>
      <c r="B104" s="215" t="str">
        <f>IF(LEN(A104)=0,"",INDEX('Smelter Look-up'!$A:$A,MATCH($A104,'Smelter Look-up'!$E:$E,0)))</f>
        <v/>
      </c>
      <c r="C104" s="219" t="str">
        <f>IF(LEN(A104)=0,"",INDEX('Smelter Look-up'!$C:$C,MATCH($A104,'Smelter Look-up'!$E:$E,0)))</f>
        <v/>
      </c>
      <c r="D104" s="278"/>
      <c r="E104" s="215" t="str">
        <f ca="1">IF(ISERROR($V104),"",OFFSET('Smelter Look-up'!$D$4,$V104-4,0)&amp;"")</f>
        <v/>
      </c>
      <c r="F104" s="215" t="str">
        <f ca="1">IF(ISERROR($V104),"",OFFSET('Smelter Look-up'!$E$4,$V104-4,0))</f>
        <v/>
      </c>
      <c r="G104" s="215" t="str">
        <f ca="1">IF(C104=$X$4,"Enter smelter details",IF(ISERROR($V104),"",OFFSET('Smelter Look-up'!$F$4,$V104-4,0)))</f>
        <v/>
      </c>
      <c r="H104" s="216" t="str">
        <f ca="1">IF(ISERROR($V104),"",OFFSET('Smelter Look-up'!$G$4,$V104-4,0))</f>
        <v/>
      </c>
      <c r="I104" s="217" t="str">
        <f ca="1">IF(ISERROR($V104),"",OFFSET('Smelter Look-up'!$H$4,$V104-4,0))</f>
        <v/>
      </c>
      <c r="J104" s="217" t="str">
        <f ca="1">IF(ISERROR($V104),"",OFFSET('Smelter Look-up'!$I$4,$V104-4,0))</f>
        <v/>
      </c>
      <c r="K104" s="268"/>
      <c r="L104" s="268"/>
      <c r="M104" s="268"/>
      <c r="N104" s="268"/>
      <c r="O104" s="268"/>
      <c r="P104" s="218"/>
      <c r="Q104" s="269"/>
      <c r="R104" s="215" t="str">
        <f ca="1">IF(ISERROR($V104),"",OFFSET('Smelter Look-up'!$C$4,$V104-4,0)&amp;"")</f>
        <v/>
      </c>
      <c r="S104" s="222" t="str">
        <f t="shared" ca="1" si="15"/>
        <v/>
      </c>
      <c r="T104" s="222" t="str">
        <f ca="1">IF(B104="","",IF(ISERROR(MATCH($J104,SorP!$B$1:$B$6230,0)),"",INDIRECT("'SorP'!$A$"&amp;MATCH($J104,SorP!$B$1:$B$6230,0))))</f>
        <v/>
      </c>
      <c r="U104" s="238"/>
      <c r="V104" s="270" t="e">
        <f>IF(C104="",NA(),MATCH($B104&amp;$C104,'Smelter Look-up'!$J:$J,0))</f>
        <v>#N/A</v>
      </c>
      <c r="W104" s="271"/>
      <c r="X104" s="271">
        <f t="shared" ca="1" si="16"/>
        <v>0</v>
      </c>
      <c r="Y104" s="271"/>
      <c r="Z104" s="271"/>
      <c r="AB104" s="273" t="str">
        <f t="shared" si="17"/>
        <v/>
      </c>
    </row>
    <row r="105" spans="1:28" s="272" customFormat="1" ht="20.399999999999999">
      <c r="A105" s="214"/>
      <c r="B105" s="215" t="str">
        <f>IF(LEN(A105)=0,"",INDEX('Smelter Look-up'!$A:$A,MATCH($A105,'Smelter Look-up'!$E:$E,0)))</f>
        <v/>
      </c>
      <c r="C105" s="219" t="str">
        <f>IF(LEN(A105)=0,"",INDEX('Smelter Look-up'!$C:$C,MATCH($A105,'Smelter Look-up'!$E:$E,0)))</f>
        <v/>
      </c>
      <c r="D105" s="278"/>
      <c r="E105" s="215" t="str">
        <f ca="1">IF(ISERROR($V105),"",OFFSET('Smelter Look-up'!$D$4,$V105-4,0)&amp;"")</f>
        <v/>
      </c>
      <c r="F105" s="215" t="str">
        <f ca="1">IF(ISERROR($V105),"",OFFSET('Smelter Look-up'!$E$4,$V105-4,0))</f>
        <v/>
      </c>
      <c r="G105" s="215" t="str">
        <f ca="1">IF(C105=$X$4,"Enter smelter details",IF(ISERROR($V105),"",OFFSET('Smelter Look-up'!$F$4,$V105-4,0)))</f>
        <v/>
      </c>
      <c r="H105" s="216" t="str">
        <f ca="1">IF(ISERROR($V105),"",OFFSET('Smelter Look-up'!$G$4,$V105-4,0))</f>
        <v/>
      </c>
      <c r="I105" s="217" t="str">
        <f ca="1">IF(ISERROR($V105),"",OFFSET('Smelter Look-up'!$H$4,$V105-4,0))</f>
        <v/>
      </c>
      <c r="J105" s="217" t="str">
        <f ca="1">IF(ISERROR($V105),"",OFFSET('Smelter Look-up'!$I$4,$V105-4,0))</f>
        <v/>
      </c>
      <c r="K105" s="268"/>
      <c r="L105" s="268"/>
      <c r="M105" s="268"/>
      <c r="N105" s="268"/>
      <c r="O105" s="268"/>
      <c r="P105" s="218"/>
      <c r="Q105" s="269"/>
      <c r="R105" s="215" t="str">
        <f ca="1">IF(ISERROR($V105),"",OFFSET('Smelter Look-up'!$C$4,$V105-4,0)&amp;"")</f>
        <v/>
      </c>
      <c r="S105" s="222" t="str">
        <f t="shared" ca="1" si="15"/>
        <v/>
      </c>
      <c r="T105" s="222" t="str">
        <f ca="1">IF(B105="","",IF(ISERROR(MATCH($J105,SorP!$B$1:$B$6230,0)),"",INDIRECT("'SorP'!$A$"&amp;MATCH($J105,SorP!$B$1:$B$6230,0))))</f>
        <v/>
      </c>
      <c r="U105" s="238"/>
      <c r="V105" s="270" t="e">
        <f>IF(C105="",NA(),MATCH($B105&amp;$C105,'Smelter Look-up'!$J:$J,0))</f>
        <v>#N/A</v>
      </c>
      <c r="W105" s="271"/>
      <c r="X105" s="271">
        <f t="shared" ca="1" si="16"/>
        <v>0</v>
      </c>
      <c r="Y105" s="271"/>
      <c r="Z105" s="271"/>
      <c r="AB105" s="273" t="str">
        <f t="shared" si="17"/>
        <v/>
      </c>
    </row>
    <row r="106" spans="1:28" s="272" customFormat="1" ht="20.399999999999999">
      <c r="A106" s="214"/>
      <c r="B106" s="215" t="str">
        <f>IF(LEN(A106)=0,"",INDEX('Smelter Look-up'!$A:$A,MATCH($A106,'Smelter Look-up'!$E:$E,0)))</f>
        <v/>
      </c>
      <c r="C106" s="219" t="str">
        <f>IF(LEN(A106)=0,"",INDEX('Smelter Look-up'!$C:$C,MATCH($A106,'Smelter Look-up'!$E:$E,0)))</f>
        <v/>
      </c>
      <c r="D106" s="278"/>
      <c r="E106" s="215" t="str">
        <f ca="1">IF(ISERROR($V106),"",OFFSET('Smelter Look-up'!$D$4,$V106-4,0)&amp;"")</f>
        <v/>
      </c>
      <c r="F106" s="215" t="str">
        <f ca="1">IF(ISERROR($V106),"",OFFSET('Smelter Look-up'!$E$4,$V106-4,0))</f>
        <v/>
      </c>
      <c r="G106" s="215" t="str">
        <f ca="1">IF(C106=$X$4,"Enter smelter details",IF(ISERROR($V106),"",OFFSET('Smelter Look-up'!$F$4,$V106-4,0)))</f>
        <v/>
      </c>
      <c r="H106" s="216" t="str">
        <f ca="1">IF(ISERROR($V106),"",OFFSET('Smelter Look-up'!$G$4,$V106-4,0))</f>
        <v/>
      </c>
      <c r="I106" s="217" t="str">
        <f ca="1">IF(ISERROR($V106),"",OFFSET('Smelter Look-up'!$H$4,$V106-4,0))</f>
        <v/>
      </c>
      <c r="J106" s="217" t="str">
        <f ca="1">IF(ISERROR($V106),"",OFFSET('Smelter Look-up'!$I$4,$V106-4,0))</f>
        <v/>
      </c>
      <c r="K106" s="268"/>
      <c r="L106" s="268"/>
      <c r="M106" s="268"/>
      <c r="N106" s="268"/>
      <c r="O106" s="268"/>
      <c r="P106" s="218"/>
      <c r="Q106" s="269"/>
      <c r="R106" s="215" t="str">
        <f ca="1">IF(ISERROR($V106),"",OFFSET('Smelter Look-up'!$C$4,$V106-4,0)&amp;"")</f>
        <v/>
      </c>
      <c r="S106" s="222" t="str">
        <f t="shared" ca="1" si="15"/>
        <v/>
      </c>
      <c r="T106" s="222" t="str">
        <f ca="1">IF(B106="","",IF(ISERROR(MATCH($J106,SorP!$B$1:$B$6230,0)),"",INDIRECT("'SorP'!$A$"&amp;MATCH($J106,SorP!$B$1:$B$6230,0))))</f>
        <v/>
      </c>
      <c r="U106" s="238"/>
      <c r="V106" s="270" t="e">
        <f>IF(C106="",NA(),MATCH($B106&amp;$C106,'Smelter Look-up'!$J:$J,0))</f>
        <v>#N/A</v>
      </c>
      <c r="W106" s="271"/>
      <c r="X106" s="271">
        <f t="shared" ca="1" si="16"/>
        <v>0</v>
      </c>
      <c r="Y106" s="271"/>
      <c r="Z106" s="271"/>
      <c r="AB106" s="273" t="str">
        <f t="shared" si="17"/>
        <v/>
      </c>
    </row>
    <row r="107" spans="1:28" s="272" customFormat="1" ht="20.399999999999999">
      <c r="A107" s="214"/>
      <c r="B107" s="215" t="str">
        <f>IF(LEN(A107)=0,"",INDEX('Smelter Look-up'!$A:$A,MATCH($A107,'Smelter Look-up'!$E:$E,0)))</f>
        <v/>
      </c>
      <c r="C107" s="219" t="str">
        <f>IF(LEN(A107)=0,"",INDEX('Smelter Look-up'!$C:$C,MATCH($A107,'Smelter Look-up'!$E:$E,0)))</f>
        <v/>
      </c>
      <c r="D107" s="278"/>
      <c r="E107" s="215" t="str">
        <f ca="1">IF(ISERROR($V107),"",OFFSET('Smelter Look-up'!$D$4,$V107-4,0)&amp;"")</f>
        <v/>
      </c>
      <c r="F107" s="215" t="str">
        <f ca="1">IF(ISERROR($V107),"",OFFSET('Smelter Look-up'!$E$4,$V107-4,0))</f>
        <v/>
      </c>
      <c r="G107" s="215" t="str">
        <f ca="1">IF(C107=$X$4,"Enter smelter details",IF(ISERROR($V107),"",OFFSET('Smelter Look-up'!$F$4,$V107-4,0)))</f>
        <v/>
      </c>
      <c r="H107" s="216" t="str">
        <f ca="1">IF(ISERROR($V107),"",OFFSET('Smelter Look-up'!$G$4,$V107-4,0))</f>
        <v/>
      </c>
      <c r="I107" s="217" t="str">
        <f ca="1">IF(ISERROR($V107),"",OFFSET('Smelter Look-up'!$H$4,$V107-4,0))</f>
        <v/>
      </c>
      <c r="J107" s="217" t="str">
        <f ca="1">IF(ISERROR($V107),"",OFFSET('Smelter Look-up'!$I$4,$V107-4,0))</f>
        <v/>
      </c>
      <c r="K107" s="268"/>
      <c r="L107" s="268"/>
      <c r="M107" s="268"/>
      <c r="N107" s="268"/>
      <c r="O107" s="268"/>
      <c r="P107" s="218"/>
      <c r="Q107" s="269"/>
      <c r="R107" s="215" t="str">
        <f ca="1">IF(ISERROR($V107),"",OFFSET('Smelter Look-up'!$C$4,$V107-4,0)&amp;"")</f>
        <v/>
      </c>
      <c r="S107" s="222" t="str">
        <f t="shared" ca="1" si="15"/>
        <v/>
      </c>
      <c r="T107" s="222" t="str">
        <f ca="1">IF(B107="","",IF(ISERROR(MATCH($J107,SorP!$B$1:$B$6230,0)),"",INDIRECT("'SorP'!$A$"&amp;MATCH($J107,SorP!$B$1:$B$6230,0))))</f>
        <v/>
      </c>
      <c r="U107" s="238"/>
      <c r="V107" s="270" t="e">
        <f>IF(C107="",NA(),MATCH($B107&amp;$C107,'Smelter Look-up'!$J:$J,0))</f>
        <v>#N/A</v>
      </c>
      <c r="W107" s="271"/>
      <c r="X107" s="271">
        <f t="shared" ca="1" si="16"/>
        <v>0</v>
      </c>
      <c r="Y107" s="271"/>
      <c r="Z107" s="271"/>
      <c r="AB107" s="273" t="str">
        <f t="shared" si="17"/>
        <v/>
      </c>
    </row>
    <row r="108" spans="1:28" s="272" customFormat="1" ht="20.399999999999999">
      <c r="A108" s="214"/>
      <c r="B108" s="215" t="str">
        <f>IF(LEN(A108)=0,"",INDEX('Smelter Look-up'!$A:$A,MATCH($A108,'Smelter Look-up'!$E:$E,0)))</f>
        <v/>
      </c>
      <c r="C108" s="219" t="str">
        <f>IF(LEN(A108)=0,"",INDEX('Smelter Look-up'!$C:$C,MATCH($A108,'Smelter Look-up'!$E:$E,0)))</f>
        <v/>
      </c>
      <c r="D108" s="278"/>
      <c r="E108" s="215" t="str">
        <f ca="1">IF(ISERROR($V108),"",OFFSET('Smelter Look-up'!$D$4,$V108-4,0)&amp;"")</f>
        <v/>
      </c>
      <c r="F108" s="215" t="str">
        <f ca="1">IF(ISERROR($V108),"",OFFSET('Smelter Look-up'!$E$4,$V108-4,0))</f>
        <v/>
      </c>
      <c r="G108" s="215" t="str">
        <f ca="1">IF(C108=$X$4,"Enter smelter details",IF(ISERROR($V108),"",OFFSET('Smelter Look-up'!$F$4,$V108-4,0)))</f>
        <v/>
      </c>
      <c r="H108" s="216" t="str">
        <f ca="1">IF(ISERROR($V108),"",OFFSET('Smelter Look-up'!$G$4,$V108-4,0))</f>
        <v/>
      </c>
      <c r="I108" s="217" t="str">
        <f ca="1">IF(ISERROR($V108),"",OFFSET('Smelter Look-up'!$H$4,$V108-4,0))</f>
        <v/>
      </c>
      <c r="J108" s="217" t="str">
        <f ca="1">IF(ISERROR($V108),"",OFFSET('Smelter Look-up'!$I$4,$V108-4,0))</f>
        <v/>
      </c>
      <c r="K108" s="268"/>
      <c r="L108" s="268"/>
      <c r="M108" s="268"/>
      <c r="N108" s="268"/>
      <c r="O108" s="268"/>
      <c r="P108" s="218"/>
      <c r="Q108" s="269"/>
      <c r="R108" s="215" t="str">
        <f ca="1">IF(ISERROR($V108),"",OFFSET('Smelter Look-up'!$C$4,$V108-4,0)&amp;"")</f>
        <v/>
      </c>
      <c r="S108" s="222" t="str">
        <f t="shared" ca="1" si="15"/>
        <v/>
      </c>
      <c r="T108" s="222" t="str">
        <f ca="1">IF(B108="","",IF(ISERROR(MATCH($J108,SorP!$B$1:$B$6230,0)),"",INDIRECT("'SorP'!$A$"&amp;MATCH($J108,SorP!$B$1:$B$6230,0))))</f>
        <v/>
      </c>
      <c r="U108" s="238"/>
      <c r="V108" s="270" t="e">
        <f>IF(C108="",NA(),MATCH($B108&amp;$C108,'Smelter Look-up'!$J:$J,0))</f>
        <v>#N/A</v>
      </c>
      <c r="W108" s="271"/>
      <c r="X108" s="271">
        <f t="shared" ca="1" si="16"/>
        <v>0</v>
      </c>
      <c r="Y108" s="271"/>
      <c r="Z108" s="271"/>
      <c r="AB108" s="273" t="str">
        <f t="shared" si="17"/>
        <v/>
      </c>
    </row>
    <row r="109" spans="1:28" s="272" customFormat="1" ht="20.399999999999999">
      <c r="A109" s="214"/>
      <c r="B109" s="215" t="str">
        <f>IF(LEN(A109)=0,"",INDEX('Smelter Look-up'!$A:$A,MATCH($A109,'Smelter Look-up'!$E:$E,0)))</f>
        <v/>
      </c>
      <c r="C109" s="219" t="str">
        <f>IF(LEN(A109)=0,"",INDEX('Smelter Look-up'!$C:$C,MATCH($A109,'Smelter Look-up'!$E:$E,0)))</f>
        <v/>
      </c>
      <c r="D109" s="278"/>
      <c r="E109" s="215" t="str">
        <f ca="1">IF(ISERROR($V109),"",OFFSET('Smelter Look-up'!$D$4,$V109-4,0)&amp;"")</f>
        <v/>
      </c>
      <c r="F109" s="215" t="str">
        <f ca="1">IF(ISERROR($V109),"",OFFSET('Smelter Look-up'!$E$4,$V109-4,0))</f>
        <v/>
      </c>
      <c r="G109" s="215" t="str">
        <f ca="1">IF(C109=$X$4,"Enter smelter details",IF(ISERROR($V109),"",OFFSET('Smelter Look-up'!$F$4,$V109-4,0)))</f>
        <v/>
      </c>
      <c r="H109" s="216" t="str">
        <f ca="1">IF(ISERROR($V109),"",OFFSET('Smelter Look-up'!$G$4,$V109-4,0))</f>
        <v/>
      </c>
      <c r="I109" s="217" t="str">
        <f ca="1">IF(ISERROR($V109),"",OFFSET('Smelter Look-up'!$H$4,$V109-4,0))</f>
        <v/>
      </c>
      <c r="J109" s="217" t="str">
        <f ca="1">IF(ISERROR($V109),"",OFFSET('Smelter Look-up'!$I$4,$V109-4,0))</f>
        <v/>
      </c>
      <c r="K109" s="268"/>
      <c r="L109" s="268"/>
      <c r="M109" s="268"/>
      <c r="N109" s="268"/>
      <c r="O109" s="268"/>
      <c r="P109" s="218"/>
      <c r="Q109" s="269"/>
      <c r="R109" s="215" t="str">
        <f ca="1">IF(ISERROR($V109),"",OFFSET('Smelter Look-up'!$C$4,$V109-4,0)&amp;"")</f>
        <v/>
      </c>
      <c r="S109" s="222" t="str">
        <f t="shared" ca="1" si="15"/>
        <v/>
      </c>
      <c r="T109" s="222" t="str">
        <f ca="1">IF(B109="","",IF(ISERROR(MATCH($J109,SorP!$B$1:$B$6230,0)),"",INDIRECT("'SorP'!$A$"&amp;MATCH($J109,SorP!$B$1:$B$6230,0))))</f>
        <v/>
      </c>
      <c r="U109" s="238"/>
      <c r="V109" s="270" t="e">
        <f>IF(C109="",NA(),MATCH($B109&amp;$C109,'Smelter Look-up'!$J:$J,0))</f>
        <v>#N/A</v>
      </c>
      <c r="W109" s="271"/>
      <c r="X109" s="271">
        <f t="shared" ca="1" si="16"/>
        <v>0</v>
      </c>
      <c r="Y109" s="271"/>
      <c r="Z109" s="271"/>
      <c r="AB109" s="273" t="str">
        <f t="shared" si="17"/>
        <v/>
      </c>
    </row>
    <row r="110" spans="1:28" s="272" customFormat="1" ht="20.399999999999999">
      <c r="A110" s="214"/>
      <c r="B110" s="215" t="str">
        <f>IF(LEN(A110)=0,"",INDEX('Smelter Look-up'!$A:$A,MATCH($A110,'Smelter Look-up'!$E:$E,0)))</f>
        <v/>
      </c>
      <c r="C110" s="219" t="str">
        <f>IF(LEN(A110)=0,"",INDEX('Smelter Look-up'!$C:$C,MATCH($A110,'Smelter Look-up'!$E:$E,0)))</f>
        <v/>
      </c>
      <c r="D110" s="278"/>
      <c r="E110" s="215" t="str">
        <f ca="1">IF(ISERROR($V110),"",OFFSET('Smelter Look-up'!$D$4,$V110-4,0)&amp;"")</f>
        <v/>
      </c>
      <c r="F110" s="215" t="str">
        <f ca="1">IF(ISERROR($V110),"",OFFSET('Smelter Look-up'!$E$4,$V110-4,0))</f>
        <v/>
      </c>
      <c r="G110" s="215" t="str">
        <f ca="1">IF(C110=$X$4,"Enter smelter details",IF(ISERROR($V110),"",OFFSET('Smelter Look-up'!$F$4,$V110-4,0)))</f>
        <v/>
      </c>
      <c r="H110" s="216" t="str">
        <f ca="1">IF(ISERROR($V110),"",OFFSET('Smelter Look-up'!$G$4,$V110-4,0))</f>
        <v/>
      </c>
      <c r="I110" s="217" t="str">
        <f ca="1">IF(ISERROR($V110),"",OFFSET('Smelter Look-up'!$H$4,$V110-4,0))</f>
        <v/>
      </c>
      <c r="J110" s="217" t="str">
        <f ca="1">IF(ISERROR($V110),"",OFFSET('Smelter Look-up'!$I$4,$V110-4,0))</f>
        <v/>
      </c>
      <c r="K110" s="268"/>
      <c r="L110" s="268"/>
      <c r="M110" s="268"/>
      <c r="N110" s="268"/>
      <c r="O110" s="268"/>
      <c r="P110" s="218"/>
      <c r="Q110" s="269"/>
      <c r="R110" s="215" t="str">
        <f ca="1">IF(ISERROR($V110),"",OFFSET('Smelter Look-up'!$C$4,$V110-4,0)&amp;"")</f>
        <v/>
      </c>
      <c r="S110" s="222" t="str">
        <f t="shared" ca="1" si="15"/>
        <v/>
      </c>
      <c r="T110" s="222" t="str">
        <f ca="1">IF(B110="","",IF(ISERROR(MATCH($J110,SorP!$B$1:$B$6230,0)),"",INDIRECT("'SorP'!$A$"&amp;MATCH($J110,SorP!$B$1:$B$6230,0))))</f>
        <v/>
      </c>
      <c r="U110" s="238"/>
      <c r="V110" s="270" t="e">
        <f>IF(C110="",NA(),MATCH($B110&amp;$C110,'Smelter Look-up'!$J:$J,0))</f>
        <v>#N/A</v>
      </c>
      <c r="W110" s="271"/>
      <c r="X110" s="271">
        <f t="shared" ca="1" si="16"/>
        <v>0</v>
      </c>
      <c r="Y110" s="271"/>
      <c r="Z110" s="271"/>
      <c r="AB110" s="273" t="str">
        <f t="shared" si="17"/>
        <v/>
      </c>
    </row>
    <row r="111" spans="1:28" s="272" customFormat="1" ht="20.399999999999999">
      <c r="A111" s="214"/>
      <c r="B111" s="215" t="str">
        <f>IF(LEN(A111)=0,"",INDEX('Smelter Look-up'!$A:$A,MATCH($A111,'Smelter Look-up'!$E:$E,0)))</f>
        <v/>
      </c>
      <c r="C111" s="219" t="str">
        <f>IF(LEN(A111)=0,"",INDEX('Smelter Look-up'!$C:$C,MATCH($A111,'Smelter Look-up'!$E:$E,0)))</f>
        <v/>
      </c>
      <c r="D111" s="278"/>
      <c r="E111" s="215" t="str">
        <f ca="1">IF(ISERROR($V111),"",OFFSET('Smelter Look-up'!$D$4,$V111-4,0)&amp;"")</f>
        <v/>
      </c>
      <c r="F111" s="215" t="str">
        <f ca="1">IF(ISERROR($V111),"",OFFSET('Smelter Look-up'!$E$4,$V111-4,0))</f>
        <v/>
      </c>
      <c r="G111" s="215" t="str">
        <f ca="1">IF(C111=$X$4,"Enter smelter details",IF(ISERROR($V111),"",OFFSET('Smelter Look-up'!$F$4,$V111-4,0)))</f>
        <v/>
      </c>
      <c r="H111" s="216" t="str">
        <f ca="1">IF(ISERROR($V111),"",OFFSET('Smelter Look-up'!$G$4,$V111-4,0))</f>
        <v/>
      </c>
      <c r="I111" s="217" t="str">
        <f ca="1">IF(ISERROR($V111),"",OFFSET('Smelter Look-up'!$H$4,$V111-4,0))</f>
        <v/>
      </c>
      <c r="J111" s="217" t="str">
        <f ca="1">IF(ISERROR($V111),"",OFFSET('Smelter Look-up'!$I$4,$V111-4,0))</f>
        <v/>
      </c>
      <c r="K111" s="268"/>
      <c r="L111" s="268"/>
      <c r="M111" s="268"/>
      <c r="N111" s="268"/>
      <c r="O111" s="268"/>
      <c r="P111" s="218"/>
      <c r="Q111" s="269"/>
      <c r="R111" s="215" t="str">
        <f ca="1">IF(ISERROR($V111),"",OFFSET('Smelter Look-up'!$C$4,$V111-4,0)&amp;"")</f>
        <v/>
      </c>
      <c r="S111" s="222" t="str">
        <f t="shared" ca="1" si="15"/>
        <v/>
      </c>
      <c r="T111" s="222" t="str">
        <f ca="1">IF(B111="","",IF(ISERROR(MATCH($J111,SorP!$B$1:$B$6230,0)),"",INDIRECT("'SorP'!$A$"&amp;MATCH($J111,SorP!$B$1:$B$6230,0))))</f>
        <v/>
      </c>
      <c r="U111" s="238"/>
      <c r="V111" s="270" t="e">
        <f>IF(C111="",NA(),MATCH($B111&amp;$C111,'Smelter Look-up'!$J:$J,0))</f>
        <v>#N/A</v>
      </c>
      <c r="W111" s="271"/>
      <c r="X111" s="271">
        <f t="shared" ca="1" si="16"/>
        <v>0</v>
      </c>
      <c r="Y111" s="271"/>
      <c r="Z111" s="271"/>
      <c r="AB111" s="273" t="str">
        <f t="shared" si="17"/>
        <v/>
      </c>
    </row>
    <row r="112" spans="1:28" s="272" customFormat="1" ht="20.399999999999999">
      <c r="A112" s="214"/>
      <c r="B112" s="215" t="str">
        <f>IF(LEN(A112)=0,"",INDEX('Smelter Look-up'!$A:$A,MATCH($A112,'Smelter Look-up'!$E:$E,0)))</f>
        <v/>
      </c>
      <c r="C112" s="219" t="str">
        <f>IF(LEN(A112)=0,"",INDEX('Smelter Look-up'!$C:$C,MATCH($A112,'Smelter Look-up'!$E:$E,0)))</f>
        <v/>
      </c>
      <c r="D112" s="278"/>
      <c r="E112" s="215" t="str">
        <f ca="1">IF(ISERROR($V112),"",OFFSET('Smelter Look-up'!$D$4,$V112-4,0)&amp;"")</f>
        <v/>
      </c>
      <c r="F112" s="215" t="str">
        <f ca="1">IF(ISERROR($V112),"",OFFSET('Smelter Look-up'!$E$4,$V112-4,0))</f>
        <v/>
      </c>
      <c r="G112" s="215" t="str">
        <f ca="1">IF(C112=$X$4,"Enter smelter details",IF(ISERROR($V112),"",OFFSET('Smelter Look-up'!$F$4,$V112-4,0)))</f>
        <v/>
      </c>
      <c r="H112" s="216" t="str">
        <f ca="1">IF(ISERROR($V112),"",OFFSET('Smelter Look-up'!$G$4,$V112-4,0))</f>
        <v/>
      </c>
      <c r="I112" s="217" t="str">
        <f ca="1">IF(ISERROR($V112),"",OFFSET('Smelter Look-up'!$H$4,$V112-4,0))</f>
        <v/>
      </c>
      <c r="J112" s="217" t="str">
        <f ca="1">IF(ISERROR($V112),"",OFFSET('Smelter Look-up'!$I$4,$V112-4,0))</f>
        <v/>
      </c>
      <c r="K112" s="268"/>
      <c r="L112" s="268"/>
      <c r="M112" s="268"/>
      <c r="N112" s="268"/>
      <c r="O112" s="268"/>
      <c r="P112" s="218"/>
      <c r="Q112" s="269"/>
      <c r="R112" s="215" t="str">
        <f ca="1">IF(ISERROR($V112),"",OFFSET('Smelter Look-up'!$C$4,$V112-4,0)&amp;"")</f>
        <v/>
      </c>
      <c r="S112" s="222" t="str">
        <f t="shared" ca="1" si="15"/>
        <v/>
      </c>
      <c r="T112" s="222" t="str">
        <f ca="1">IF(B112="","",IF(ISERROR(MATCH($J112,SorP!$B$1:$B$6230,0)),"",INDIRECT("'SorP'!$A$"&amp;MATCH($J112,SorP!$B$1:$B$6230,0))))</f>
        <v/>
      </c>
      <c r="U112" s="238"/>
      <c r="V112" s="270" t="e">
        <f>IF(C112="",NA(),MATCH($B112&amp;$C112,'Smelter Look-up'!$J:$J,0))</f>
        <v>#N/A</v>
      </c>
      <c r="W112" s="271"/>
      <c r="X112" s="271">
        <f t="shared" ca="1" si="16"/>
        <v>0</v>
      </c>
      <c r="Y112" s="271"/>
      <c r="Z112" s="271"/>
      <c r="AB112" s="273" t="str">
        <f t="shared" si="17"/>
        <v/>
      </c>
    </row>
    <row r="113" spans="1:28" s="272" customFormat="1" ht="20.399999999999999">
      <c r="A113" s="214"/>
      <c r="B113" s="215" t="str">
        <f>IF(LEN(A113)=0,"",INDEX('Smelter Look-up'!$A:$A,MATCH($A113,'Smelter Look-up'!$E:$E,0)))</f>
        <v/>
      </c>
      <c r="C113" s="219" t="str">
        <f>IF(LEN(A113)=0,"",INDEX('Smelter Look-up'!$C:$C,MATCH($A113,'Smelter Look-up'!$E:$E,0)))</f>
        <v/>
      </c>
      <c r="D113" s="278"/>
      <c r="E113" s="215" t="str">
        <f ca="1">IF(ISERROR($V113),"",OFFSET('Smelter Look-up'!$D$4,$V113-4,0)&amp;"")</f>
        <v/>
      </c>
      <c r="F113" s="215" t="str">
        <f ca="1">IF(ISERROR($V113),"",OFFSET('Smelter Look-up'!$E$4,$V113-4,0))</f>
        <v/>
      </c>
      <c r="G113" s="215" t="str">
        <f ca="1">IF(C113=$X$4,"Enter smelter details",IF(ISERROR($V113),"",OFFSET('Smelter Look-up'!$F$4,$V113-4,0)))</f>
        <v/>
      </c>
      <c r="H113" s="216" t="str">
        <f ca="1">IF(ISERROR($V113),"",OFFSET('Smelter Look-up'!$G$4,$V113-4,0))</f>
        <v/>
      </c>
      <c r="I113" s="217" t="str">
        <f ca="1">IF(ISERROR($V113),"",OFFSET('Smelter Look-up'!$H$4,$V113-4,0))</f>
        <v/>
      </c>
      <c r="J113" s="217" t="str">
        <f ca="1">IF(ISERROR($V113),"",OFFSET('Smelter Look-up'!$I$4,$V113-4,0))</f>
        <v/>
      </c>
      <c r="K113" s="268"/>
      <c r="L113" s="268"/>
      <c r="M113" s="268"/>
      <c r="N113" s="268"/>
      <c r="O113" s="268"/>
      <c r="P113" s="218"/>
      <c r="Q113" s="269"/>
      <c r="R113" s="215" t="str">
        <f ca="1">IF(ISERROR($V113),"",OFFSET('Smelter Look-up'!$C$4,$V113-4,0)&amp;"")</f>
        <v/>
      </c>
      <c r="S113" s="222" t="str">
        <f t="shared" ca="1" si="15"/>
        <v/>
      </c>
      <c r="T113" s="222" t="str">
        <f ca="1">IF(B113="","",IF(ISERROR(MATCH($J113,SorP!$B$1:$B$6230,0)),"",INDIRECT("'SorP'!$A$"&amp;MATCH($J113,SorP!$B$1:$B$6230,0))))</f>
        <v/>
      </c>
      <c r="U113" s="238"/>
      <c r="V113" s="270" t="e">
        <f>IF(C113="",NA(),MATCH($B113&amp;$C113,'Smelter Look-up'!$J:$J,0))</f>
        <v>#N/A</v>
      </c>
      <c r="W113" s="271"/>
      <c r="X113" s="271">
        <f t="shared" ca="1" si="16"/>
        <v>0</v>
      </c>
      <c r="Y113" s="271"/>
      <c r="Z113" s="271"/>
      <c r="AB113" s="273" t="str">
        <f t="shared" si="17"/>
        <v/>
      </c>
    </row>
    <row r="114" spans="1:28" s="272" customFormat="1" ht="20.399999999999999">
      <c r="A114" s="214"/>
      <c r="B114" s="215" t="str">
        <f>IF(LEN(A114)=0,"",INDEX('Smelter Look-up'!$A:$A,MATCH($A114,'Smelter Look-up'!$E:$E,0)))</f>
        <v/>
      </c>
      <c r="C114" s="219" t="str">
        <f>IF(LEN(A114)=0,"",INDEX('Smelter Look-up'!$C:$C,MATCH($A114,'Smelter Look-up'!$E:$E,0)))</f>
        <v/>
      </c>
      <c r="D114" s="278"/>
      <c r="E114" s="215" t="str">
        <f ca="1">IF(ISERROR($V114),"",OFFSET('Smelter Look-up'!$D$4,$V114-4,0)&amp;"")</f>
        <v/>
      </c>
      <c r="F114" s="215" t="str">
        <f ca="1">IF(ISERROR($V114),"",OFFSET('Smelter Look-up'!$E$4,$V114-4,0))</f>
        <v/>
      </c>
      <c r="G114" s="215" t="str">
        <f ca="1">IF(C114=$X$4,"Enter smelter details",IF(ISERROR($V114),"",OFFSET('Smelter Look-up'!$F$4,$V114-4,0)))</f>
        <v/>
      </c>
      <c r="H114" s="216" t="str">
        <f ca="1">IF(ISERROR($V114),"",OFFSET('Smelter Look-up'!$G$4,$V114-4,0))</f>
        <v/>
      </c>
      <c r="I114" s="217" t="str">
        <f ca="1">IF(ISERROR($V114),"",OFFSET('Smelter Look-up'!$H$4,$V114-4,0))</f>
        <v/>
      </c>
      <c r="J114" s="217" t="str">
        <f ca="1">IF(ISERROR($V114),"",OFFSET('Smelter Look-up'!$I$4,$V114-4,0))</f>
        <v/>
      </c>
      <c r="K114" s="268"/>
      <c r="L114" s="268"/>
      <c r="M114" s="268"/>
      <c r="N114" s="268"/>
      <c r="O114" s="268"/>
      <c r="P114" s="218"/>
      <c r="Q114" s="269"/>
      <c r="R114" s="215" t="str">
        <f ca="1">IF(ISERROR($V114),"",OFFSET('Smelter Look-up'!$C$4,$V114-4,0)&amp;"")</f>
        <v/>
      </c>
      <c r="S114" s="222" t="str">
        <f t="shared" ca="1" si="15"/>
        <v/>
      </c>
      <c r="T114" s="222" t="str">
        <f ca="1">IF(B114="","",IF(ISERROR(MATCH($J114,SorP!$B$1:$B$6230,0)),"",INDIRECT("'SorP'!$A$"&amp;MATCH($J114,SorP!$B$1:$B$6230,0))))</f>
        <v/>
      </c>
      <c r="U114" s="238"/>
      <c r="V114" s="270" t="e">
        <f>IF(C114="",NA(),MATCH($B114&amp;$C114,'Smelter Look-up'!$J:$J,0))</f>
        <v>#N/A</v>
      </c>
      <c r="W114" s="271"/>
      <c r="X114" s="271">
        <f t="shared" ca="1" si="16"/>
        <v>0</v>
      </c>
      <c r="Y114" s="271"/>
      <c r="Z114" s="271"/>
      <c r="AB114" s="273" t="str">
        <f t="shared" si="17"/>
        <v/>
      </c>
    </row>
    <row r="115" spans="1:28" s="272" customFormat="1" ht="20.399999999999999">
      <c r="A115" s="214"/>
      <c r="B115" s="215" t="str">
        <f>IF(LEN(A115)=0,"",INDEX('Smelter Look-up'!$A:$A,MATCH($A115,'Smelter Look-up'!$E:$E,0)))</f>
        <v/>
      </c>
      <c r="C115" s="219" t="str">
        <f>IF(LEN(A115)=0,"",INDEX('Smelter Look-up'!$C:$C,MATCH($A115,'Smelter Look-up'!$E:$E,0)))</f>
        <v/>
      </c>
      <c r="D115" s="278"/>
      <c r="E115" s="215" t="str">
        <f ca="1">IF(ISERROR($V115),"",OFFSET('Smelter Look-up'!$D$4,$V115-4,0)&amp;"")</f>
        <v/>
      </c>
      <c r="F115" s="215" t="str">
        <f ca="1">IF(ISERROR($V115),"",OFFSET('Smelter Look-up'!$E$4,$V115-4,0))</f>
        <v/>
      </c>
      <c r="G115" s="215" t="str">
        <f ca="1">IF(C115=$X$4,"Enter smelter details",IF(ISERROR($V115),"",OFFSET('Smelter Look-up'!$F$4,$V115-4,0)))</f>
        <v/>
      </c>
      <c r="H115" s="216" t="str">
        <f ca="1">IF(ISERROR($V115),"",OFFSET('Smelter Look-up'!$G$4,$V115-4,0))</f>
        <v/>
      </c>
      <c r="I115" s="217" t="str">
        <f ca="1">IF(ISERROR($V115),"",OFFSET('Smelter Look-up'!$H$4,$V115-4,0))</f>
        <v/>
      </c>
      <c r="J115" s="217" t="str">
        <f ca="1">IF(ISERROR($V115),"",OFFSET('Smelter Look-up'!$I$4,$V115-4,0))</f>
        <v/>
      </c>
      <c r="K115" s="268"/>
      <c r="L115" s="268"/>
      <c r="M115" s="268"/>
      <c r="N115" s="268"/>
      <c r="O115" s="268"/>
      <c r="P115" s="218"/>
      <c r="Q115" s="269"/>
      <c r="R115" s="215" t="str">
        <f ca="1">IF(ISERROR($V115),"",OFFSET('Smelter Look-up'!$C$4,$V115-4,0)&amp;"")</f>
        <v/>
      </c>
      <c r="S115" s="222" t="str">
        <f t="shared" ca="1" si="15"/>
        <v/>
      </c>
      <c r="T115" s="222" t="str">
        <f ca="1">IF(B115="","",IF(ISERROR(MATCH($J115,SorP!$B$1:$B$6230,0)),"",INDIRECT("'SorP'!$A$"&amp;MATCH($J115,SorP!$B$1:$B$6230,0))))</f>
        <v/>
      </c>
      <c r="U115" s="238"/>
      <c r="V115" s="270" t="e">
        <f>IF(C115="",NA(),MATCH($B115&amp;$C115,'Smelter Look-up'!$J:$J,0))</f>
        <v>#N/A</v>
      </c>
      <c r="W115" s="271"/>
      <c r="X115" s="271">
        <f t="shared" ca="1" si="16"/>
        <v>0</v>
      </c>
      <c r="Y115" s="271"/>
      <c r="Z115" s="271"/>
      <c r="AB115" s="273" t="str">
        <f t="shared" si="17"/>
        <v/>
      </c>
    </row>
    <row r="116" spans="1:28" s="272" customFormat="1" ht="20.399999999999999">
      <c r="A116" s="214"/>
      <c r="B116" s="215" t="str">
        <f>IF(LEN(A116)=0,"",INDEX('Smelter Look-up'!$A:$A,MATCH($A116,'Smelter Look-up'!$E:$E,0)))</f>
        <v/>
      </c>
      <c r="C116" s="219" t="str">
        <f>IF(LEN(A116)=0,"",INDEX('Smelter Look-up'!$C:$C,MATCH($A116,'Smelter Look-up'!$E:$E,0)))</f>
        <v/>
      </c>
      <c r="D116" s="278"/>
      <c r="E116" s="215" t="str">
        <f ca="1">IF(ISERROR($V116),"",OFFSET('Smelter Look-up'!$D$4,$V116-4,0)&amp;"")</f>
        <v/>
      </c>
      <c r="F116" s="215" t="str">
        <f ca="1">IF(ISERROR($V116),"",OFFSET('Smelter Look-up'!$E$4,$V116-4,0))</f>
        <v/>
      </c>
      <c r="G116" s="215" t="str">
        <f ca="1">IF(C116=$X$4,"Enter smelter details",IF(ISERROR($V116),"",OFFSET('Smelter Look-up'!$F$4,$V116-4,0)))</f>
        <v/>
      </c>
      <c r="H116" s="216" t="str">
        <f ca="1">IF(ISERROR($V116),"",OFFSET('Smelter Look-up'!$G$4,$V116-4,0))</f>
        <v/>
      </c>
      <c r="I116" s="217" t="str">
        <f ca="1">IF(ISERROR($V116),"",OFFSET('Smelter Look-up'!$H$4,$V116-4,0))</f>
        <v/>
      </c>
      <c r="J116" s="217" t="str">
        <f ca="1">IF(ISERROR($V116),"",OFFSET('Smelter Look-up'!$I$4,$V116-4,0))</f>
        <v/>
      </c>
      <c r="K116" s="268"/>
      <c r="L116" s="268"/>
      <c r="M116" s="268"/>
      <c r="N116" s="268"/>
      <c r="O116" s="268"/>
      <c r="P116" s="218"/>
      <c r="Q116" s="269"/>
      <c r="R116" s="215" t="str">
        <f ca="1">IF(ISERROR($V116),"",OFFSET('Smelter Look-up'!$C$4,$V116-4,0)&amp;"")</f>
        <v/>
      </c>
      <c r="S116" s="222" t="str">
        <f t="shared" ca="1" si="15"/>
        <v/>
      </c>
      <c r="T116" s="222" t="str">
        <f ca="1">IF(B116="","",IF(ISERROR(MATCH($J116,SorP!$B$1:$B$6230,0)),"",INDIRECT("'SorP'!$A$"&amp;MATCH($J116,SorP!$B$1:$B$6230,0))))</f>
        <v/>
      </c>
      <c r="U116" s="238"/>
      <c r="V116" s="270" t="e">
        <f>IF(C116="",NA(),MATCH($B116&amp;$C116,'Smelter Look-up'!$J:$J,0))</f>
        <v>#N/A</v>
      </c>
      <c r="W116" s="271"/>
      <c r="X116" s="271">
        <f t="shared" ca="1" si="16"/>
        <v>0</v>
      </c>
      <c r="Y116" s="271"/>
      <c r="Z116" s="271"/>
      <c r="AB116" s="273" t="str">
        <f t="shared" si="17"/>
        <v/>
      </c>
    </row>
    <row r="117" spans="1:28" s="272" customFormat="1" ht="20.399999999999999">
      <c r="A117" s="214"/>
      <c r="B117" s="215" t="str">
        <f>IF(LEN(A117)=0,"",INDEX('Smelter Look-up'!$A:$A,MATCH($A117,'Smelter Look-up'!$E:$E,0)))</f>
        <v/>
      </c>
      <c r="C117" s="219" t="str">
        <f>IF(LEN(A117)=0,"",INDEX('Smelter Look-up'!$C:$C,MATCH($A117,'Smelter Look-up'!$E:$E,0)))</f>
        <v/>
      </c>
      <c r="D117" s="278"/>
      <c r="E117" s="215" t="str">
        <f ca="1">IF(ISERROR($V117),"",OFFSET('Smelter Look-up'!$D$4,$V117-4,0)&amp;"")</f>
        <v/>
      </c>
      <c r="F117" s="215" t="str">
        <f ca="1">IF(ISERROR($V117),"",OFFSET('Smelter Look-up'!$E$4,$V117-4,0))</f>
        <v/>
      </c>
      <c r="G117" s="215" t="str">
        <f ca="1">IF(C117=$X$4,"Enter smelter details",IF(ISERROR($V117),"",OFFSET('Smelter Look-up'!$F$4,$V117-4,0)))</f>
        <v/>
      </c>
      <c r="H117" s="216" t="str">
        <f ca="1">IF(ISERROR($V117),"",OFFSET('Smelter Look-up'!$G$4,$V117-4,0))</f>
        <v/>
      </c>
      <c r="I117" s="217" t="str">
        <f ca="1">IF(ISERROR($V117),"",OFFSET('Smelter Look-up'!$H$4,$V117-4,0))</f>
        <v/>
      </c>
      <c r="J117" s="217" t="str">
        <f ca="1">IF(ISERROR($V117),"",OFFSET('Smelter Look-up'!$I$4,$V117-4,0))</f>
        <v/>
      </c>
      <c r="K117" s="268"/>
      <c r="L117" s="268"/>
      <c r="M117" s="268"/>
      <c r="N117" s="268"/>
      <c r="O117" s="268"/>
      <c r="P117" s="218"/>
      <c r="Q117" s="269"/>
      <c r="R117" s="215" t="str">
        <f ca="1">IF(ISERROR($V117),"",OFFSET('Smelter Look-up'!$C$4,$V117-4,0)&amp;"")</f>
        <v/>
      </c>
      <c r="S117" s="222" t="str">
        <f t="shared" ca="1" si="15"/>
        <v/>
      </c>
      <c r="T117" s="222" t="str">
        <f ca="1">IF(B117="","",IF(ISERROR(MATCH($J117,SorP!$B$1:$B$6230,0)),"",INDIRECT("'SorP'!$A$"&amp;MATCH($J117,SorP!$B$1:$B$6230,0))))</f>
        <v/>
      </c>
      <c r="U117" s="238"/>
      <c r="V117" s="270" t="e">
        <f>IF(C117="",NA(),MATCH($B117&amp;$C117,'Smelter Look-up'!$J:$J,0))</f>
        <v>#N/A</v>
      </c>
      <c r="W117" s="271"/>
      <c r="X117" s="271">
        <f t="shared" ca="1" si="16"/>
        <v>0</v>
      </c>
      <c r="Y117" s="271"/>
      <c r="Z117" s="271"/>
      <c r="AB117" s="273" t="str">
        <f t="shared" si="17"/>
        <v/>
      </c>
    </row>
    <row r="118" spans="1:28" s="272" customFormat="1" ht="20.399999999999999">
      <c r="A118" s="214"/>
      <c r="B118" s="215" t="str">
        <f>IF(LEN(A118)=0,"",INDEX('Smelter Look-up'!$A:$A,MATCH($A118,'Smelter Look-up'!$E:$E,0)))</f>
        <v/>
      </c>
      <c r="C118" s="219" t="str">
        <f>IF(LEN(A118)=0,"",INDEX('Smelter Look-up'!$C:$C,MATCH($A118,'Smelter Look-up'!$E:$E,0)))</f>
        <v/>
      </c>
      <c r="D118" s="278"/>
      <c r="E118" s="215" t="str">
        <f ca="1">IF(ISERROR($V118),"",OFFSET('Smelter Look-up'!$D$4,$V118-4,0)&amp;"")</f>
        <v/>
      </c>
      <c r="F118" s="215" t="str">
        <f ca="1">IF(ISERROR($V118),"",OFFSET('Smelter Look-up'!$E$4,$V118-4,0))</f>
        <v/>
      </c>
      <c r="G118" s="215" t="str">
        <f ca="1">IF(C118=$X$4,"Enter smelter details",IF(ISERROR($V118),"",OFFSET('Smelter Look-up'!$F$4,$V118-4,0)))</f>
        <v/>
      </c>
      <c r="H118" s="216" t="str">
        <f ca="1">IF(ISERROR($V118),"",OFFSET('Smelter Look-up'!$G$4,$V118-4,0))</f>
        <v/>
      </c>
      <c r="I118" s="217" t="str">
        <f ca="1">IF(ISERROR($V118),"",OFFSET('Smelter Look-up'!$H$4,$V118-4,0))</f>
        <v/>
      </c>
      <c r="J118" s="217" t="str">
        <f ca="1">IF(ISERROR($V118),"",OFFSET('Smelter Look-up'!$I$4,$V118-4,0))</f>
        <v/>
      </c>
      <c r="K118" s="268"/>
      <c r="L118" s="268"/>
      <c r="M118" s="268"/>
      <c r="N118" s="268"/>
      <c r="O118" s="268"/>
      <c r="P118" s="218"/>
      <c r="Q118" s="269"/>
      <c r="R118" s="215" t="str">
        <f ca="1">IF(ISERROR($V118),"",OFFSET('Smelter Look-up'!$C$4,$V118-4,0)&amp;"")</f>
        <v/>
      </c>
      <c r="S118" s="222" t="str">
        <f t="shared" ca="1" si="15"/>
        <v/>
      </c>
      <c r="T118" s="222" t="str">
        <f ca="1">IF(B118="","",IF(ISERROR(MATCH($J118,SorP!$B$1:$B$6230,0)),"",INDIRECT("'SorP'!$A$"&amp;MATCH($J118,SorP!$B$1:$B$6230,0))))</f>
        <v/>
      </c>
      <c r="U118" s="238"/>
      <c r="V118" s="270" t="e">
        <f>IF(C118="",NA(),MATCH($B118&amp;$C118,'Smelter Look-up'!$J:$J,0))</f>
        <v>#N/A</v>
      </c>
      <c r="W118" s="271"/>
      <c r="X118" s="271">
        <f t="shared" ca="1" si="16"/>
        <v>0</v>
      </c>
      <c r="Y118" s="271"/>
      <c r="Z118" s="271"/>
      <c r="AB118" s="273" t="str">
        <f t="shared" si="17"/>
        <v/>
      </c>
    </row>
    <row r="119" spans="1:28" s="272" customFormat="1" ht="20.399999999999999">
      <c r="A119" s="214"/>
      <c r="B119" s="215" t="str">
        <f>IF(LEN(A119)=0,"",INDEX('Smelter Look-up'!$A:$A,MATCH($A119,'Smelter Look-up'!$E:$E,0)))</f>
        <v/>
      </c>
      <c r="C119" s="219" t="str">
        <f>IF(LEN(A119)=0,"",INDEX('Smelter Look-up'!$C:$C,MATCH($A119,'Smelter Look-up'!$E:$E,0)))</f>
        <v/>
      </c>
      <c r="D119" s="278"/>
      <c r="E119" s="215" t="str">
        <f ca="1">IF(ISERROR($V119),"",OFFSET('Smelter Look-up'!$D$4,$V119-4,0)&amp;"")</f>
        <v/>
      </c>
      <c r="F119" s="215" t="str">
        <f ca="1">IF(ISERROR($V119),"",OFFSET('Smelter Look-up'!$E$4,$V119-4,0))</f>
        <v/>
      </c>
      <c r="G119" s="215" t="str">
        <f ca="1">IF(C119=$X$4,"Enter smelter details",IF(ISERROR($V119),"",OFFSET('Smelter Look-up'!$F$4,$V119-4,0)))</f>
        <v/>
      </c>
      <c r="H119" s="216" t="str">
        <f ca="1">IF(ISERROR($V119),"",OFFSET('Smelter Look-up'!$G$4,$V119-4,0))</f>
        <v/>
      </c>
      <c r="I119" s="217" t="str">
        <f ca="1">IF(ISERROR($V119),"",OFFSET('Smelter Look-up'!$H$4,$V119-4,0))</f>
        <v/>
      </c>
      <c r="J119" s="217" t="str">
        <f ca="1">IF(ISERROR($V119),"",OFFSET('Smelter Look-up'!$I$4,$V119-4,0))</f>
        <v/>
      </c>
      <c r="K119" s="268"/>
      <c r="L119" s="268"/>
      <c r="M119" s="268"/>
      <c r="N119" s="268"/>
      <c r="O119" s="268"/>
      <c r="P119" s="218"/>
      <c r="Q119" s="269"/>
      <c r="R119" s="215" t="str">
        <f ca="1">IF(ISERROR($V119),"",OFFSET('Smelter Look-up'!$C$4,$V119-4,0)&amp;"")</f>
        <v/>
      </c>
      <c r="S119" s="222" t="str">
        <f t="shared" ca="1" si="15"/>
        <v/>
      </c>
      <c r="T119" s="222" t="str">
        <f ca="1">IF(B119="","",IF(ISERROR(MATCH($J119,SorP!$B$1:$B$6230,0)),"",INDIRECT("'SorP'!$A$"&amp;MATCH($J119,SorP!$B$1:$B$6230,0))))</f>
        <v/>
      </c>
      <c r="U119" s="238"/>
      <c r="V119" s="270" t="e">
        <f>IF(C119="",NA(),MATCH($B119&amp;$C119,'Smelter Look-up'!$J:$J,0))</f>
        <v>#N/A</v>
      </c>
      <c r="W119" s="271"/>
      <c r="X119" s="271">
        <f t="shared" ca="1" si="16"/>
        <v>0</v>
      </c>
      <c r="Y119" s="271"/>
      <c r="Z119" s="271"/>
      <c r="AB119" s="273" t="str">
        <f t="shared" si="17"/>
        <v/>
      </c>
    </row>
    <row r="120" spans="1:28" s="272" customFormat="1" ht="20.399999999999999">
      <c r="A120" s="214"/>
      <c r="B120" s="215" t="str">
        <f>IF(LEN(A120)=0,"",INDEX('Smelter Look-up'!$A:$A,MATCH($A120,'Smelter Look-up'!$E:$E,0)))</f>
        <v/>
      </c>
      <c r="C120" s="219" t="str">
        <f>IF(LEN(A120)=0,"",INDEX('Smelter Look-up'!$C:$C,MATCH($A120,'Smelter Look-up'!$E:$E,0)))</f>
        <v/>
      </c>
      <c r="D120" s="278"/>
      <c r="E120" s="215" t="str">
        <f ca="1">IF(ISERROR($V120),"",OFFSET('Smelter Look-up'!$D$4,$V120-4,0)&amp;"")</f>
        <v/>
      </c>
      <c r="F120" s="215" t="str">
        <f ca="1">IF(ISERROR($V120),"",OFFSET('Smelter Look-up'!$E$4,$V120-4,0))</f>
        <v/>
      </c>
      <c r="G120" s="215" t="str">
        <f ca="1">IF(C120=$X$4,"Enter smelter details",IF(ISERROR($V120),"",OFFSET('Smelter Look-up'!$F$4,$V120-4,0)))</f>
        <v/>
      </c>
      <c r="H120" s="216" t="str">
        <f ca="1">IF(ISERROR($V120),"",OFFSET('Smelter Look-up'!$G$4,$V120-4,0))</f>
        <v/>
      </c>
      <c r="I120" s="217" t="str">
        <f ca="1">IF(ISERROR($V120),"",OFFSET('Smelter Look-up'!$H$4,$V120-4,0))</f>
        <v/>
      </c>
      <c r="J120" s="217" t="str">
        <f ca="1">IF(ISERROR($V120),"",OFFSET('Smelter Look-up'!$I$4,$V120-4,0))</f>
        <v/>
      </c>
      <c r="K120" s="268"/>
      <c r="L120" s="268"/>
      <c r="M120" s="268"/>
      <c r="N120" s="268"/>
      <c r="O120" s="268"/>
      <c r="P120" s="218"/>
      <c r="Q120" s="269"/>
      <c r="R120" s="215" t="str">
        <f ca="1">IF(ISERROR($V120),"",OFFSET('Smelter Look-up'!$C$4,$V120-4,0)&amp;"")</f>
        <v/>
      </c>
      <c r="S120" s="222" t="str">
        <f t="shared" ca="1" si="15"/>
        <v/>
      </c>
      <c r="T120" s="222" t="str">
        <f ca="1">IF(B120="","",IF(ISERROR(MATCH($J120,SorP!$B$1:$B$6230,0)),"",INDIRECT("'SorP'!$A$"&amp;MATCH($J120,SorP!$B$1:$B$6230,0))))</f>
        <v/>
      </c>
      <c r="U120" s="238"/>
      <c r="V120" s="270" t="e">
        <f>IF(C120="",NA(),MATCH($B120&amp;$C120,'Smelter Look-up'!$J:$J,0))</f>
        <v>#N/A</v>
      </c>
      <c r="W120" s="271"/>
      <c r="X120" s="271">
        <f t="shared" ca="1" si="16"/>
        <v>0</v>
      </c>
      <c r="Y120" s="271"/>
      <c r="Z120" s="271"/>
      <c r="AB120" s="273" t="str">
        <f t="shared" si="17"/>
        <v/>
      </c>
    </row>
    <row r="121" spans="1:28" s="272" customFormat="1" ht="20.399999999999999">
      <c r="A121" s="214"/>
      <c r="B121" s="215" t="str">
        <f>IF(LEN(A121)=0,"",INDEX('Smelter Look-up'!$A:$A,MATCH($A121,'Smelter Look-up'!$E:$E,0)))</f>
        <v/>
      </c>
      <c r="C121" s="219" t="str">
        <f>IF(LEN(A121)=0,"",INDEX('Smelter Look-up'!$C:$C,MATCH($A121,'Smelter Look-up'!$E:$E,0)))</f>
        <v/>
      </c>
      <c r="D121" s="278"/>
      <c r="E121" s="215" t="str">
        <f ca="1">IF(ISERROR($V121),"",OFFSET('Smelter Look-up'!$D$4,$V121-4,0)&amp;"")</f>
        <v/>
      </c>
      <c r="F121" s="215" t="str">
        <f ca="1">IF(ISERROR($V121),"",OFFSET('Smelter Look-up'!$E$4,$V121-4,0))</f>
        <v/>
      </c>
      <c r="G121" s="215" t="str">
        <f ca="1">IF(C121=$X$4,"Enter smelter details",IF(ISERROR($V121),"",OFFSET('Smelter Look-up'!$F$4,$V121-4,0)))</f>
        <v/>
      </c>
      <c r="H121" s="216" t="str">
        <f ca="1">IF(ISERROR($V121),"",OFFSET('Smelter Look-up'!$G$4,$V121-4,0))</f>
        <v/>
      </c>
      <c r="I121" s="217" t="str">
        <f ca="1">IF(ISERROR($V121),"",OFFSET('Smelter Look-up'!$H$4,$V121-4,0))</f>
        <v/>
      </c>
      <c r="J121" s="217" t="str">
        <f ca="1">IF(ISERROR($V121),"",OFFSET('Smelter Look-up'!$I$4,$V121-4,0))</f>
        <v/>
      </c>
      <c r="K121" s="268"/>
      <c r="L121" s="268"/>
      <c r="M121" s="268"/>
      <c r="N121" s="268"/>
      <c r="O121" s="268"/>
      <c r="P121" s="218"/>
      <c r="Q121" s="269"/>
      <c r="R121" s="215" t="str">
        <f ca="1">IF(ISERROR($V121),"",OFFSET('Smelter Look-up'!$C$4,$V121-4,0)&amp;"")</f>
        <v/>
      </c>
      <c r="S121" s="222" t="str">
        <f t="shared" ca="1" si="15"/>
        <v/>
      </c>
      <c r="T121" s="222" t="str">
        <f ca="1">IF(B121="","",IF(ISERROR(MATCH($J121,SorP!$B$1:$B$6230,0)),"",INDIRECT("'SorP'!$A$"&amp;MATCH($J121,SorP!$B$1:$B$6230,0))))</f>
        <v/>
      </c>
      <c r="U121" s="238"/>
      <c r="V121" s="270" t="e">
        <f>IF(C121="",NA(),MATCH($B121&amp;$C121,'Smelter Look-up'!$J:$J,0))</f>
        <v>#N/A</v>
      </c>
      <c r="W121" s="271"/>
      <c r="X121" s="271">
        <f t="shared" ca="1" si="16"/>
        <v>0</v>
      </c>
      <c r="Y121" s="271"/>
      <c r="Z121" s="271"/>
      <c r="AB121" s="273" t="str">
        <f t="shared" si="17"/>
        <v/>
      </c>
    </row>
    <row r="122" spans="1:28" s="272" customFormat="1" ht="20.399999999999999">
      <c r="A122" s="214"/>
      <c r="B122" s="215" t="str">
        <f>IF(LEN(A122)=0,"",INDEX('Smelter Look-up'!$A:$A,MATCH($A122,'Smelter Look-up'!$E:$E,0)))</f>
        <v/>
      </c>
      <c r="C122" s="219" t="str">
        <f>IF(LEN(A122)=0,"",INDEX('Smelter Look-up'!$C:$C,MATCH($A122,'Smelter Look-up'!$E:$E,0)))</f>
        <v/>
      </c>
      <c r="D122" s="278"/>
      <c r="E122" s="215" t="str">
        <f ca="1">IF(ISERROR($V122),"",OFFSET('Smelter Look-up'!$D$4,$V122-4,0)&amp;"")</f>
        <v/>
      </c>
      <c r="F122" s="215" t="str">
        <f ca="1">IF(ISERROR($V122),"",OFFSET('Smelter Look-up'!$E$4,$V122-4,0))</f>
        <v/>
      </c>
      <c r="G122" s="215" t="str">
        <f ca="1">IF(C122=$X$4,"Enter smelter details",IF(ISERROR($V122),"",OFFSET('Smelter Look-up'!$F$4,$V122-4,0)))</f>
        <v/>
      </c>
      <c r="H122" s="216" t="str">
        <f ca="1">IF(ISERROR($V122),"",OFFSET('Smelter Look-up'!$G$4,$V122-4,0))</f>
        <v/>
      </c>
      <c r="I122" s="217" t="str">
        <f ca="1">IF(ISERROR($V122),"",OFFSET('Smelter Look-up'!$H$4,$V122-4,0))</f>
        <v/>
      </c>
      <c r="J122" s="217" t="str">
        <f ca="1">IF(ISERROR($V122),"",OFFSET('Smelter Look-up'!$I$4,$V122-4,0))</f>
        <v/>
      </c>
      <c r="K122" s="268"/>
      <c r="L122" s="268"/>
      <c r="M122" s="268"/>
      <c r="N122" s="268"/>
      <c r="O122" s="268"/>
      <c r="P122" s="218"/>
      <c r="Q122" s="269"/>
      <c r="R122" s="215" t="str">
        <f ca="1">IF(ISERROR($V122),"",OFFSET('Smelter Look-up'!$C$4,$V122-4,0)&amp;"")</f>
        <v/>
      </c>
      <c r="S122" s="222" t="str">
        <f t="shared" ca="1" si="15"/>
        <v/>
      </c>
      <c r="T122" s="222" t="str">
        <f ca="1">IF(B122="","",IF(ISERROR(MATCH($J122,SorP!$B$1:$B$6230,0)),"",INDIRECT("'SorP'!$A$"&amp;MATCH($J122,SorP!$B$1:$B$6230,0))))</f>
        <v/>
      </c>
      <c r="U122" s="238"/>
      <c r="V122" s="270" t="e">
        <f>IF(C122="",NA(),MATCH($B122&amp;$C122,'Smelter Look-up'!$J:$J,0))</f>
        <v>#N/A</v>
      </c>
      <c r="W122" s="271"/>
      <c r="X122" s="271">
        <f t="shared" ca="1" si="16"/>
        <v>0</v>
      </c>
      <c r="Y122" s="271"/>
      <c r="Z122" s="271"/>
      <c r="AB122" s="273" t="str">
        <f t="shared" si="17"/>
        <v/>
      </c>
    </row>
    <row r="123" spans="1:28" s="272" customFormat="1" ht="20.399999999999999">
      <c r="A123" s="214"/>
      <c r="B123" s="215" t="str">
        <f>IF(LEN(A123)=0,"",INDEX('Smelter Look-up'!$A:$A,MATCH($A123,'Smelter Look-up'!$E:$E,0)))</f>
        <v/>
      </c>
      <c r="C123" s="219" t="str">
        <f>IF(LEN(A123)=0,"",INDEX('Smelter Look-up'!$C:$C,MATCH($A123,'Smelter Look-up'!$E:$E,0)))</f>
        <v/>
      </c>
      <c r="D123" s="278"/>
      <c r="E123" s="215" t="str">
        <f ca="1">IF(ISERROR($V123),"",OFFSET('Smelter Look-up'!$D$4,$V123-4,0)&amp;"")</f>
        <v/>
      </c>
      <c r="F123" s="215" t="str">
        <f ca="1">IF(ISERROR($V123),"",OFFSET('Smelter Look-up'!$E$4,$V123-4,0))</f>
        <v/>
      </c>
      <c r="G123" s="215" t="str">
        <f ca="1">IF(C123=$X$4,"Enter smelter details",IF(ISERROR($V123),"",OFFSET('Smelter Look-up'!$F$4,$V123-4,0)))</f>
        <v/>
      </c>
      <c r="H123" s="216" t="str">
        <f ca="1">IF(ISERROR($V123),"",OFFSET('Smelter Look-up'!$G$4,$V123-4,0))</f>
        <v/>
      </c>
      <c r="I123" s="217" t="str">
        <f ca="1">IF(ISERROR($V123),"",OFFSET('Smelter Look-up'!$H$4,$V123-4,0))</f>
        <v/>
      </c>
      <c r="J123" s="217" t="str">
        <f ca="1">IF(ISERROR($V123),"",OFFSET('Smelter Look-up'!$I$4,$V123-4,0))</f>
        <v/>
      </c>
      <c r="K123" s="268"/>
      <c r="L123" s="268"/>
      <c r="M123" s="268"/>
      <c r="N123" s="268"/>
      <c r="O123" s="268"/>
      <c r="P123" s="218"/>
      <c r="Q123" s="269"/>
      <c r="R123" s="215" t="str">
        <f ca="1">IF(ISERROR($V123),"",OFFSET('Smelter Look-up'!$C$4,$V123-4,0)&amp;"")</f>
        <v/>
      </c>
      <c r="S123" s="222" t="str">
        <f t="shared" ca="1" si="15"/>
        <v/>
      </c>
      <c r="T123" s="222" t="str">
        <f ca="1">IF(B123="","",IF(ISERROR(MATCH($J123,SorP!$B$1:$B$6230,0)),"",INDIRECT("'SorP'!$A$"&amp;MATCH($J123,SorP!$B$1:$B$6230,0))))</f>
        <v/>
      </c>
      <c r="U123" s="238"/>
      <c r="V123" s="270" t="e">
        <f>IF(C123="",NA(),MATCH($B123&amp;$C123,'Smelter Look-up'!$J:$J,0))</f>
        <v>#N/A</v>
      </c>
      <c r="W123" s="271"/>
      <c r="X123" s="271">
        <f t="shared" ca="1" si="16"/>
        <v>0</v>
      </c>
      <c r="Y123" s="271"/>
      <c r="Z123" s="271"/>
      <c r="AB123" s="273" t="str">
        <f t="shared" si="17"/>
        <v/>
      </c>
    </row>
    <row r="124" spans="1:28" s="272" customFormat="1" ht="20.399999999999999">
      <c r="A124" s="214"/>
      <c r="B124" s="215" t="str">
        <f>IF(LEN(A124)=0,"",INDEX('Smelter Look-up'!$A:$A,MATCH($A124,'Smelter Look-up'!$E:$E,0)))</f>
        <v/>
      </c>
      <c r="C124" s="219" t="str">
        <f>IF(LEN(A124)=0,"",INDEX('Smelter Look-up'!$C:$C,MATCH($A124,'Smelter Look-up'!$E:$E,0)))</f>
        <v/>
      </c>
      <c r="D124" s="278"/>
      <c r="E124" s="215" t="str">
        <f ca="1">IF(ISERROR($V124),"",OFFSET('Smelter Look-up'!$D$4,$V124-4,0)&amp;"")</f>
        <v/>
      </c>
      <c r="F124" s="215" t="str">
        <f ca="1">IF(ISERROR($V124),"",OFFSET('Smelter Look-up'!$E$4,$V124-4,0))</f>
        <v/>
      </c>
      <c r="G124" s="215" t="str">
        <f ca="1">IF(C124=$X$4,"Enter smelter details",IF(ISERROR($V124),"",OFFSET('Smelter Look-up'!$F$4,$V124-4,0)))</f>
        <v/>
      </c>
      <c r="H124" s="216" t="str">
        <f ca="1">IF(ISERROR($V124),"",OFFSET('Smelter Look-up'!$G$4,$V124-4,0))</f>
        <v/>
      </c>
      <c r="I124" s="217" t="str">
        <f ca="1">IF(ISERROR($V124),"",OFFSET('Smelter Look-up'!$H$4,$V124-4,0))</f>
        <v/>
      </c>
      <c r="J124" s="217" t="str">
        <f ca="1">IF(ISERROR($V124),"",OFFSET('Smelter Look-up'!$I$4,$V124-4,0))</f>
        <v/>
      </c>
      <c r="K124" s="268"/>
      <c r="L124" s="268"/>
      <c r="M124" s="268"/>
      <c r="N124" s="268"/>
      <c r="O124" s="268"/>
      <c r="P124" s="218"/>
      <c r="Q124" s="269"/>
      <c r="R124" s="215" t="str">
        <f ca="1">IF(ISERROR($V124),"",OFFSET('Smelter Look-up'!$C$4,$V124-4,0)&amp;"")</f>
        <v/>
      </c>
      <c r="S124" s="222" t="str">
        <f t="shared" ca="1" si="15"/>
        <v/>
      </c>
      <c r="T124" s="222" t="str">
        <f ca="1">IF(B124="","",IF(ISERROR(MATCH($J124,SorP!$B$1:$B$6230,0)),"",INDIRECT("'SorP'!$A$"&amp;MATCH($J124,SorP!$B$1:$B$6230,0))))</f>
        <v/>
      </c>
      <c r="U124" s="238"/>
      <c r="V124" s="270" t="e">
        <f>IF(C124="",NA(),MATCH($B124&amp;$C124,'Smelter Look-up'!$J:$J,0))</f>
        <v>#N/A</v>
      </c>
      <c r="W124" s="271"/>
      <c r="X124" s="271">
        <f t="shared" ca="1" si="16"/>
        <v>0</v>
      </c>
      <c r="Y124" s="271"/>
      <c r="Z124" s="271"/>
      <c r="AB124" s="273" t="str">
        <f t="shared" si="17"/>
        <v/>
      </c>
    </row>
    <row r="125" spans="1:28" s="272" customFormat="1" ht="20.399999999999999">
      <c r="A125" s="214"/>
      <c r="B125" s="215" t="str">
        <f>IF(LEN(A125)=0,"",INDEX('Smelter Look-up'!$A:$A,MATCH($A125,'Smelter Look-up'!$E:$E,0)))</f>
        <v/>
      </c>
      <c r="C125" s="219" t="str">
        <f>IF(LEN(A125)=0,"",INDEX('Smelter Look-up'!$C:$C,MATCH($A125,'Smelter Look-up'!$E:$E,0)))</f>
        <v/>
      </c>
      <c r="D125" s="278"/>
      <c r="E125" s="215" t="str">
        <f ca="1">IF(ISERROR($V125),"",OFFSET('Smelter Look-up'!$D$4,$V125-4,0)&amp;"")</f>
        <v/>
      </c>
      <c r="F125" s="215" t="str">
        <f ca="1">IF(ISERROR($V125),"",OFFSET('Smelter Look-up'!$E$4,$V125-4,0))</f>
        <v/>
      </c>
      <c r="G125" s="215" t="str">
        <f ca="1">IF(C125=$X$4,"Enter smelter details",IF(ISERROR($V125),"",OFFSET('Smelter Look-up'!$F$4,$V125-4,0)))</f>
        <v/>
      </c>
      <c r="H125" s="216" t="str">
        <f ca="1">IF(ISERROR($V125),"",OFFSET('Smelter Look-up'!$G$4,$V125-4,0))</f>
        <v/>
      </c>
      <c r="I125" s="217" t="str">
        <f ca="1">IF(ISERROR($V125),"",OFFSET('Smelter Look-up'!$H$4,$V125-4,0))</f>
        <v/>
      </c>
      <c r="J125" s="217" t="str">
        <f ca="1">IF(ISERROR($V125),"",OFFSET('Smelter Look-up'!$I$4,$V125-4,0))</f>
        <v/>
      </c>
      <c r="K125" s="268"/>
      <c r="L125" s="268"/>
      <c r="M125" s="268"/>
      <c r="N125" s="268"/>
      <c r="O125" s="268"/>
      <c r="P125" s="218"/>
      <c r="Q125" s="269"/>
      <c r="R125" s="215" t="str">
        <f ca="1">IF(ISERROR($V125),"",OFFSET('Smelter Look-up'!$C$4,$V125-4,0)&amp;"")</f>
        <v/>
      </c>
      <c r="S125" s="222" t="str">
        <f t="shared" ca="1" si="15"/>
        <v/>
      </c>
      <c r="T125" s="222" t="str">
        <f ca="1">IF(B125="","",IF(ISERROR(MATCH($J125,SorP!$B$1:$B$6230,0)),"",INDIRECT("'SorP'!$A$"&amp;MATCH($J125,SorP!$B$1:$B$6230,0))))</f>
        <v/>
      </c>
      <c r="U125" s="238"/>
      <c r="V125" s="270" t="e">
        <f>IF(C125="",NA(),MATCH($B125&amp;$C125,'Smelter Look-up'!$J:$J,0))</f>
        <v>#N/A</v>
      </c>
      <c r="W125" s="271"/>
      <c r="X125" s="271">
        <f t="shared" ca="1" si="16"/>
        <v>0</v>
      </c>
      <c r="Y125" s="271"/>
      <c r="Z125" s="271"/>
      <c r="AB125" s="273" t="str">
        <f t="shared" si="17"/>
        <v/>
      </c>
    </row>
    <row r="126" spans="1:28" s="272" customFormat="1" ht="20.399999999999999">
      <c r="A126" s="214"/>
      <c r="B126" s="215" t="str">
        <f>IF(LEN(A126)=0,"",INDEX('Smelter Look-up'!$A:$A,MATCH($A126,'Smelter Look-up'!$E:$E,0)))</f>
        <v/>
      </c>
      <c r="C126" s="219" t="str">
        <f>IF(LEN(A126)=0,"",INDEX('Smelter Look-up'!$C:$C,MATCH($A126,'Smelter Look-up'!$E:$E,0)))</f>
        <v/>
      </c>
      <c r="D126" s="278"/>
      <c r="E126" s="215" t="str">
        <f ca="1">IF(ISERROR($V126),"",OFFSET('Smelter Look-up'!$D$4,$V126-4,0)&amp;"")</f>
        <v/>
      </c>
      <c r="F126" s="215" t="str">
        <f ca="1">IF(ISERROR($V126),"",OFFSET('Smelter Look-up'!$E$4,$V126-4,0))</f>
        <v/>
      </c>
      <c r="G126" s="215" t="str">
        <f ca="1">IF(C126=$X$4,"Enter smelter details",IF(ISERROR($V126),"",OFFSET('Smelter Look-up'!$F$4,$V126-4,0)))</f>
        <v/>
      </c>
      <c r="H126" s="216" t="str">
        <f ca="1">IF(ISERROR($V126),"",OFFSET('Smelter Look-up'!$G$4,$V126-4,0))</f>
        <v/>
      </c>
      <c r="I126" s="217" t="str">
        <f ca="1">IF(ISERROR($V126),"",OFFSET('Smelter Look-up'!$H$4,$V126-4,0))</f>
        <v/>
      </c>
      <c r="J126" s="217" t="str">
        <f ca="1">IF(ISERROR($V126),"",OFFSET('Smelter Look-up'!$I$4,$V126-4,0))</f>
        <v/>
      </c>
      <c r="K126" s="268"/>
      <c r="L126" s="268"/>
      <c r="M126" s="268"/>
      <c r="N126" s="268"/>
      <c r="O126" s="268"/>
      <c r="P126" s="218"/>
      <c r="Q126" s="269"/>
      <c r="R126" s="215" t="str">
        <f ca="1">IF(ISERROR($V126),"",OFFSET('Smelter Look-up'!$C$4,$V126-4,0)&amp;"")</f>
        <v/>
      </c>
      <c r="S126" s="222" t="str">
        <f t="shared" ca="1" si="15"/>
        <v/>
      </c>
      <c r="T126" s="222" t="str">
        <f ca="1">IF(B126="","",IF(ISERROR(MATCH($J126,SorP!$B$1:$B$6230,0)),"",INDIRECT("'SorP'!$A$"&amp;MATCH($J126,SorP!$B$1:$B$6230,0))))</f>
        <v/>
      </c>
      <c r="U126" s="238"/>
      <c r="V126" s="270" t="e">
        <f>IF(C126="",NA(),MATCH($B126&amp;$C126,'Smelter Look-up'!$J:$J,0))</f>
        <v>#N/A</v>
      </c>
      <c r="W126" s="271"/>
      <c r="X126" s="271">
        <f t="shared" ca="1" si="16"/>
        <v>0</v>
      </c>
      <c r="Y126" s="271"/>
      <c r="Z126" s="271"/>
      <c r="AB126" s="273" t="str">
        <f t="shared" si="17"/>
        <v/>
      </c>
    </row>
    <row r="127" spans="1:28" s="272" customFormat="1" ht="20.399999999999999">
      <c r="A127" s="214"/>
      <c r="B127" s="215" t="str">
        <f>IF(LEN(A127)=0,"",INDEX('Smelter Look-up'!$A:$A,MATCH($A127,'Smelter Look-up'!$E:$E,0)))</f>
        <v/>
      </c>
      <c r="C127" s="219" t="str">
        <f>IF(LEN(A127)=0,"",INDEX('Smelter Look-up'!$C:$C,MATCH($A127,'Smelter Look-up'!$E:$E,0)))</f>
        <v/>
      </c>
      <c r="D127" s="278"/>
      <c r="E127" s="215" t="str">
        <f ca="1">IF(ISERROR($V127),"",OFFSET('Smelter Look-up'!$D$4,$V127-4,0)&amp;"")</f>
        <v/>
      </c>
      <c r="F127" s="215" t="str">
        <f ca="1">IF(ISERROR($V127),"",OFFSET('Smelter Look-up'!$E$4,$V127-4,0))</f>
        <v/>
      </c>
      <c r="G127" s="215" t="str">
        <f ca="1">IF(C127=$X$4,"Enter smelter details",IF(ISERROR($V127),"",OFFSET('Smelter Look-up'!$F$4,$V127-4,0)))</f>
        <v/>
      </c>
      <c r="H127" s="216" t="str">
        <f ca="1">IF(ISERROR($V127),"",OFFSET('Smelter Look-up'!$G$4,$V127-4,0))</f>
        <v/>
      </c>
      <c r="I127" s="217" t="str">
        <f ca="1">IF(ISERROR($V127),"",OFFSET('Smelter Look-up'!$H$4,$V127-4,0))</f>
        <v/>
      </c>
      <c r="J127" s="217" t="str">
        <f ca="1">IF(ISERROR($V127),"",OFFSET('Smelter Look-up'!$I$4,$V127-4,0))</f>
        <v/>
      </c>
      <c r="K127" s="268"/>
      <c r="L127" s="268"/>
      <c r="M127" s="268"/>
      <c r="N127" s="268"/>
      <c r="O127" s="268"/>
      <c r="P127" s="218"/>
      <c r="Q127" s="269"/>
      <c r="R127" s="215" t="str">
        <f ca="1">IF(ISERROR($V127),"",OFFSET('Smelter Look-up'!$C$4,$V127-4,0)&amp;"")</f>
        <v/>
      </c>
      <c r="S127" s="222" t="str">
        <f t="shared" ca="1" si="15"/>
        <v/>
      </c>
      <c r="T127" s="222" t="str">
        <f ca="1">IF(B127="","",IF(ISERROR(MATCH($J127,SorP!$B$1:$B$6230,0)),"",INDIRECT("'SorP'!$A$"&amp;MATCH($J127,SorP!$B$1:$B$6230,0))))</f>
        <v/>
      </c>
      <c r="U127" s="238"/>
      <c r="V127" s="270" t="e">
        <f>IF(C127="",NA(),MATCH($B127&amp;$C127,'Smelter Look-up'!$J:$J,0))</f>
        <v>#N/A</v>
      </c>
      <c r="W127" s="271"/>
      <c r="X127" s="271">
        <f t="shared" ca="1" si="16"/>
        <v>0</v>
      </c>
      <c r="Y127" s="271"/>
      <c r="Z127" s="271"/>
      <c r="AB127" s="273" t="str">
        <f t="shared" si="17"/>
        <v/>
      </c>
    </row>
    <row r="128" spans="1:28" s="272" customFormat="1" ht="20.399999999999999">
      <c r="A128" s="214"/>
      <c r="B128" s="215" t="str">
        <f>IF(LEN(A128)=0,"",INDEX('Smelter Look-up'!$A:$A,MATCH($A128,'Smelter Look-up'!$E:$E,0)))</f>
        <v/>
      </c>
      <c r="C128" s="219" t="str">
        <f>IF(LEN(A128)=0,"",INDEX('Smelter Look-up'!$C:$C,MATCH($A128,'Smelter Look-up'!$E:$E,0)))</f>
        <v/>
      </c>
      <c r="D128" s="278"/>
      <c r="E128" s="215" t="str">
        <f ca="1">IF(ISERROR($V128),"",OFFSET('Smelter Look-up'!$D$4,$V128-4,0)&amp;"")</f>
        <v/>
      </c>
      <c r="F128" s="215" t="str">
        <f ca="1">IF(ISERROR($V128),"",OFFSET('Smelter Look-up'!$E$4,$V128-4,0))</f>
        <v/>
      </c>
      <c r="G128" s="215" t="str">
        <f ca="1">IF(C128=$X$4,"Enter smelter details",IF(ISERROR($V128),"",OFFSET('Smelter Look-up'!$F$4,$V128-4,0)))</f>
        <v/>
      </c>
      <c r="H128" s="216" t="str">
        <f ca="1">IF(ISERROR($V128),"",OFFSET('Smelter Look-up'!$G$4,$V128-4,0))</f>
        <v/>
      </c>
      <c r="I128" s="217" t="str">
        <f ca="1">IF(ISERROR($V128),"",OFFSET('Smelter Look-up'!$H$4,$V128-4,0))</f>
        <v/>
      </c>
      <c r="J128" s="217" t="str">
        <f ca="1">IF(ISERROR($V128),"",OFFSET('Smelter Look-up'!$I$4,$V128-4,0))</f>
        <v/>
      </c>
      <c r="K128" s="268"/>
      <c r="L128" s="268"/>
      <c r="M128" s="268"/>
      <c r="N128" s="268"/>
      <c r="O128" s="268"/>
      <c r="P128" s="218"/>
      <c r="Q128" s="269"/>
      <c r="R128" s="215" t="str">
        <f ca="1">IF(ISERROR($V128),"",OFFSET('Smelter Look-up'!$C$4,$V128-4,0)&amp;"")</f>
        <v/>
      </c>
      <c r="S128" s="222" t="str">
        <f t="shared" ca="1" si="15"/>
        <v/>
      </c>
      <c r="T128" s="222" t="str">
        <f ca="1">IF(B128="","",IF(ISERROR(MATCH($J128,SorP!$B$1:$B$6230,0)),"",INDIRECT("'SorP'!$A$"&amp;MATCH($J128,SorP!$B$1:$B$6230,0))))</f>
        <v/>
      </c>
      <c r="U128" s="238"/>
      <c r="V128" s="270" t="e">
        <f>IF(C128="",NA(),MATCH($B128&amp;$C128,'Smelter Look-up'!$J:$J,0))</f>
        <v>#N/A</v>
      </c>
      <c r="W128" s="271"/>
      <c r="X128" s="271">
        <f t="shared" ca="1" si="16"/>
        <v>0</v>
      </c>
      <c r="Y128" s="271"/>
      <c r="Z128" s="271"/>
      <c r="AB128" s="273" t="str">
        <f t="shared" si="17"/>
        <v/>
      </c>
    </row>
    <row r="129" spans="1:28" s="272" customFormat="1" ht="20.399999999999999">
      <c r="A129" s="214"/>
      <c r="B129" s="215" t="str">
        <f>IF(LEN(A129)=0,"",INDEX('Smelter Look-up'!$A:$A,MATCH($A129,'Smelter Look-up'!$E:$E,0)))</f>
        <v/>
      </c>
      <c r="C129" s="219" t="str">
        <f>IF(LEN(A129)=0,"",INDEX('Smelter Look-up'!$C:$C,MATCH($A129,'Smelter Look-up'!$E:$E,0)))</f>
        <v/>
      </c>
      <c r="D129" s="278"/>
      <c r="E129" s="215" t="str">
        <f ca="1">IF(ISERROR($V129),"",OFFSET('Smelter Look-up'!$D$4,$V129-4,0)&amp;"")</f>
        <v/>
      </c>
      <c r="F129" s="215" t="str">
        <f ca="1">IF(ISERROR($V129),"",OFFSET('Smelter Look-up'!$E$4,$V129-4,0))</f>
        <v/>
      </c>
      <c r="G129" s="215" t="str">
        <f ca="1">IF(C129=$X$4,"Enter smelter details",IF(ISERROR($V129),"",OFFSET('Smelter Look-up'!$F$4,$V129-4,0)))</f>
        <v/>
      </c>
      <c r="H129" s="216" t="str">
        <f ca="1">IF(ISERROR($V129),"",OFFSET('Smelter Look-up'!$G$4,$V129-4,0))</f>
        <v/>
      </c>
      <c r="I129" s="217" t="str">
        <f ca="1">IF(ISERROR($V129),"",OFFSET('Smelter Look-up'!$H$4,$V129-4,0))</f>
        <v/>
      </c>
      <c r="J129" s="217" t="str">
        <f ca="1">IF(ISERROR($V129),"",OFFSET('Smelter Look-up'!$I$4,$V129-4,0))</f>
        <v/>
      </c>
      <c r="K129" s="268"/>
      <c r="L129" s="268"/>
      <c r="M129" s="268"/>
      <c r="N129" s="268"/>
      <c r="O129" s="268"/>
      <c r="P129" s="218"/>
      <c r="Q129" s="269"/>
      <c r="R129" s="215" t="str">
        <f ca="1">IF(ISERROR($V129),"",OFFSET('Smelter Look-up'!$C$4,$V129-4,0)&amp;"")</f>
        <v/>
      </c>
      <c r="S129" s="222" t="str">
        <f t="shared" ca="1" si="15"/>
        <v/>
      </c>
      <c r="T129" s="222" t="str">
        <f ca="1">IF(B129="","",IF(ISERROR(MATCH($J129,SorP!$B$1:$B$6230,0)),"",INDIRECT("'SorP'!$A$"&amp;MATCH($J129,SorP!$B$1:$B$6230,0))))</f>
        <v/>
      </c>
      <c r="U129" s="238"/>
      <c r="V129" s="270" t="e">
        <f>IF(C129="",NA(),MATCH($B129&amp;$C129,'Smelter Look-up'!$J:$J,0))</f>
        <v>#N/A</v>
      </c>
      <c r="W129" s="271"/>
      <c r="X129" s="271">
        <f t="shared" ca="1" si="16"/>
        <v>0</v>
      </c>
      <c r="Y129" s="271"/>
      <c r="Z129" s="271"/>
      <c r="AB129" s="273" t="str">
        <f t="shared" si="17"/>
        <v/>
      </c>
    </row>
    <row r="130" spans="1:28" s="272" customFormat="1" ht="20.399999999999999">
      <c r="A130" s="214"/>
      <c r="B130" s="215" t="str">
        <f>IF(LEN(A130)=0,"",INDEX('Smelter Look-up'!$A:$A,MATCH($A130,'Smelter Look-up'!$E:$E,0)))</f>
        <v/>
      </c>
      <c r="C130" s="219" t="str">
        <f>IF(LEN(A130)=0,"",INDEX('Smelter Look-up'!$C:$C,MATCH($A130,'Smelter Look-up'!$E:$E,0)))</f>
        <v/>
      </c>
      <c r="D130" s="278"/>
      <c r="E130" s="215" t="str">
        <f ca="1">IF(ISERROR($V130),"",OFFSET('Smelter Look-up'!$D$4,$V130-4,0)&amp;"")</f>
        <v/>
      </c>
      <c r="F130" s="215" t="str">
        <f ca="1">IF(ISERROR($V130),"",OFFSET('Smelter Look-up'!$E$4,$V130-4,0))</f>
        <v/>
      </c>
      <c r="G130" s="215" t="str">
        <f ca="1">IF(C130=$X$4,"Enter smelter details",IF(ISERROR($V130),"",OFFSET('Smelter Look-up'!$F$4,$V130-4,0)))</f>
        <v/>
      </c>
      <c r="H130" s="216" t="str">
        <f ca="1">IF(ISERROR($V130),"",OFFSET('Smelter Look-up'!$G$4,$V130-4,0))</f>
        <v/>
      </c>
      <c r="I130" s="217" t="str">
        <f ca="1">IF(ISERROR($V130),"",OFFSET('Smelter Look-up'!$H$4,$V130-4,0))</f>
        <v/>
      </c>
      <c r="J130" s="217" t="str">
        <f ca="1">IF(ISERROR($V130),"",OFFSET('Smelter Look-up'!$I$4,$V130-4,0))</f>
        <v/>
      </c>
      <c r="K130" s="268"/>
      <c r="L130" s="268"/>
      <c r="M130" s="268"/>
      <c r="N130" s="268"/>
      <c r="O130" s="268"/>
      <c r="P130" s="218"/>
      <c r="Q130" s="269"/>
      <c r="R130" s="215" t="str">
        <f ca="1">IF(ISERROR($V130),"",OFFSET('Smelter Look-up'!$C$4,$V130-4,0)&amp;"")</f>
        <v/>
      </c>
      <c r="S130" s="222" t="str">
        <f t="shared" ca="1" si="15"/>
        <v/>
      </c>
      <c r="T130" s="222" t="str">
        <f ca="1">IF(B130="","",IF(ISERROR(MATCH($J130,SorP!$B$1:$B$6230,0)),"",INDIRECT("'SorP'!$A$"&amp;MATCH($J130,SorP!$B$1:$B$6230,0))))</f>
        <v/>
      </c>
      <c r="U130" s="238"/>
      <c r="V130" s="270" t="e">
        <f>IF(C130="",NA(),MATCH($B130&amp;$C130,'Smelter Look-up'!$J:$J,0))</f>
        <v>#N/A</v>
      </c>
      <c r="W130" s="271"/>
      <c r="X130" s="271">
        <f t="shared" ca="1" si="16"/>
        <v>0</v>
      </c>
      <c r="Y130" s="271"/>
      <c r="Z130" s="271"/>
      <c r="AB130" s="273" t="str">
        <f t="shared" si="17"/>
        <v/>
      </c>
    </row>
    <row r="131" spans="1:28" s="272" customFormat="1" ht="20.399999999999999">
      <c r="A131" s="214"/>
      <c r="B131" s="215" t="str">
        <f>IF(LEN(A131)=0,"",INDEX('Smelter Look-up'!$A:$A,MATCH($A131,'Smelter Look-up'!$E:$E,0)))</f>
        <v/>
      </c>
      <c r="C131" s="219" t="str">
        <f>IF(LEN(A131)=0,"",INDEX('Smelter Look-up'!$C:$C,MATCH($A131,'Smelter Look-up'!$E:$E,0)))</f>
        <v/>
      </c>
      <c r="D131" s="278"/>
      <c r="E131" s="215" t="str">
        <f ca="1">IF(ISERROR($V131),"",OFFSET('Smelter Look-up'!$D$4,$V131-4,0)&amp;"")</f>
        <v/>
      </c>
      <c r="F131" s="215" t="str">
        <f ca="1">IF(ISERROR($V131),"",OFFSET('Smelter Look-up'!$E$4,$V131-4,0))</f>
        <v/>
      </c>
      <c r="G131" s="215" t="str">
        <f ca="1">IF(C131=$X$4,"Enter smelter details",IF(ISERROR($V131),"",OFFSET('Smelter Look-up'!$F$4,$V131-4,0)))</f>
        <v/>
      </c>
      <c r="H131" s="216" t="str">
        <f ca="1">IF(ISERROR($V131),"",OFFSET('Smelter Look-up'!$G$4,$V131-4,0))</f>
        <v/>
      </c>
      <c r="I131" s="217" t="str">
        <f ca="1">IF(ISERROR($V131),"",OFFSET('Smelter Look-up'!$H$4,$V131-4,0))</f>
        <v/>
      </c>
      <c r="J131" s="217" t="str">
        <f ca="1">IF(ISERROR($V131),"",OFFSET('Smelter Look-up'!$I$4,$V131-4,0))</f>
        <v/>
      </c>
      <c r="K131" s="268"/>
      <c r="L131" s="268"/>
      <c r="M131" s="268"/>
      <c r="N131" s="268"/>
      <c r="O131" s="268"/>
      <c r="P131" s="218"/>
      <c r="Q131" s="269"/>
      <c r="R131" s="215" t="str">
        <f ca="1">IF(ISERROR($V131),"",OFFSET('Smelter Look-up'!$C$4,$V131-4,0)&amp;"")</f>
        <v/>
      </c>
      <c r="S131" s="222" t="str">
        <f t="shared" ca="1" si="15"/>
        <v/>
      </c>
      <c r="T131" s="222" t="str">
        <f ca="1">IF(B131="","",IF(ISERROR(MATCH($J131,SorP!$B$1:$B$6230,0)),"",INDIRECT("'SorP'!$A$"&amp;MATCH($J131,SorP!$B$1:$B$6230,0))))</f>
        <v/>
      </c>
      <c r="U131" s="238"/>
      <c r="V131" s="270" t="e">
        <f>IF(C131="",NA(),MATCH($B131&amp;$C131,'Smelter Look-up'!$J:$J,0))</f>
        <v>#N/A</v>
      </c>
      <c r="W131" s="271"/>
      <c r="X131" s="271">
        <f t="shared" ca="1" si="16"/>
        <v>0</v>
      </c>
      <c r="Y131" s="271"/>
      <c r="Z131" s="271"/>
      <c r="AB131" s="273" t="str">
        <f t="shared" si="17"/>
        <v/>
      </c>
    </row>
    <row r="132" spans="1:28" s="272" customFormat="1" ht="20.399999999999999">
      <c r="A132" s="214"/>
      <c r="B132" s="215" t="str">
        <f>IF(LEN(A132)=0,"",INDEX('Smelter Look-up'!$A:$A,MATCH($A132,'Smelter Look-up'!$E:$E,0)))</f>
        <v/>
      </c>
      <c r="C132" s="219" t="str">
        <f>IF(LEN(A132)=0,"",INDEX('Smelter Look-up'!$C:$C,MATCH($A132,'Smelter Look-up'!$E:$E,0)))</f>
        <v/>
      </c>
      <c r="D132" s="278"/>
      <c r="E132" s="215" t="str">
        <f ca="1">IF(ISERROR($V132),"",OFFSET('Smelter Look-up'!$D$4,$V132-4,0)&amp;"")</f>
        <v/>
      </c>
      <c r="F132" s="215" t="str">
        <f ca="1">IF(ISERROR($V132),"",OFFSET('Smelter Look-up'!$E$4,$V132-4,0))</f>
        <v/>
      </c>
      <c r="G132" s="215" t="str">
        <f ca="1">IF(C132=$X$4,"Enter smelter details",IF(ISERROR($V132),"",OFFSET('Smelter Look-up'!$F$4,$V132-4,0)))</f>
        <v/>
      </c>
      <c r="H132" s="216" t="str">
        <f ca="1">IF(ISERROR($V132),"",OFFSET('Smelter Look-up'!$G$4,$V132-4,0))</f>
        <v/>
      </c>
      <c r="I132" s="217" t="str">
        <f ca="1">IF(ISERROR($V132),"",OFFSET('Smelter Look-up'!$H$4,$V132-4,0))</f>
        <v/>
      </c>
      <c r="J132" s="217" t="str">
        <f ca="1">IF(ISERROR($V132),"",OFFSET('Smelter Look-up'!$I$4,$V132-4,0))</f>
        <v/>
      </c>
      <c r="K132" s="268"/>
      <c r="L132" s="268"/>
      <c r="M132" s="268"/>
      <c r="N132" s="268"/>
      <c r="O132" s="268"/>
      <c r="P132" s="218"/>
      <c r="Q132" s="269"/>
      <c r="R132" s="215" t="str">
        <f ca="1">IF(ISERROR($V132),"",OFFSET('Smelter Look-up'!$C$4,$V132-4,0)&amp;"")</f>
        <v/>
      </c>
      <c r="S132" s="222" t="str">
        <f t="shared" ca="1" si="15"/>
        <v/>
      </c>
      <c r="T132" s="222" t="str">
        <f ca="1">IF(B132="","",IF(ISERROR(MATCH($J132,SorP!$B$1:$B$6230,0)),"",INDIRECT("'SorP'!$A$"&amp;MATCH($J132,SorP!$B$1:$B$6230,0))))</f>
        <v/>
      </c>
      <c r="U132" s="238"/>
      <c r="V132" s="270" t="e">
        <f>IF(C132="",NA(),MATCH($B132&amp;$C132,'Smelter Look-up'!$J:$J,0))</f>
        <v>#N/A</v>
      </c>
      <c r="W132" s="271"/>
      <c r="X132" s="271">
        <f t="shared" ca="1" si="16"/>
        <v>0</v>
      </c>
      <c r="Y132" s="271"/>
      <c r="Z132" s="271"/>
      <c r="AB132" s="273" t="str">
        <f t="shared" si="17"/>
        <v/>
      </c>
    </row>
    <row r="133" spans="1:28" s="272" customFormat="1" ht="20.399999999999999">
      <c r="A133" s="214"/>
      <c r="B133" s="215" t="str">
        <f>IF(LEN(A133)=0,"",INDEX('Smelter Look-up'!$A:$A,MATCH($A133,'Smelter Look-up'!$E:$E,0)))</f>
        <v/>
      </c>
      <c r="C133" s="219" t="str">
        <f>IF(LEN(A133)=0,"",INDEX('Smelter Look-up'!$C:$C,MATCH($A133,'Smelter Look-up'!$E:$E,0)))</f>
        <v/>
      </c>
      <c r="D133" s="278"/>
      <c r="E133" s="215" t="str">
        <f ca="1">IF(ISERROR($V133),"",OFFSET('Smelter Look-up'!$D$4,$V133-4,0)&amp;"")</f>
        <v/>
      </c>
      <c r="F133" s="215" t="str">
        <f ca="1">IF(ISERROR($V133),"",OFFSET('Smelter Look-up'!$E$4,$V133-4,0))</f>
        <v/>
      </c>
      <c r="G133" s="215" t="str">
        <f ca="1">IF(C133=$X$4,"Enter smelter details",IF(ISERROR($V133),"",OFFSET('Smelter Look-up'!$F$4,$V133-4,0)))</f>
        <v/>
      </c>
      <c r="H133" s="216" t="str">
        <f ca="1">IF(ISERROR($V133),"",OFFSET('Smelter Look-up'!$G$4,$V133-4,0))</f>
        <v/>
      </c>
      <c r="I133" s="217" t="str">
        <f ca="1">IF(ISERROR($V133),"",OFFSET('Smelter Look-up'!$H$4,$V133-4,0))</f>
        <v/>
      </c>
      <c r="J133" s="217" t="str">
        <f ca="1">IF(ISERROR($V133),"",OFFSET('Smelter Look-up'!$I$4,$V133-4,0))</f>
        <v/>
      </c>
      <c r="K133" s="268"/>
      <c r="L133" s="268"/>
      <c r="M133" s="268"/>
      <c r="N133" s="268"/>
      <c r="O133" s="268"/>
      <c r="P133" s="218"/>
      <c r="Q133" s="269"/>
      <c r="R133" s="215" t="str">
        <f ca="1">IF(ISERROR($V133),"",OFFSET('Smelter Look-up'!$C$4,$V133-4,0)&amp;"")</f>
        <v/>
      </c>
      <c r="S133" s="222" t="str">
        <f t="shared" ref="S133" ca="1" si="18">IF(B133="","",IF(ISERROR(MATCH($E133,CL,0)),"Unknown",INDIRECT("'C'!$A$"&amp;MATCH($E133,CL,0)+1)))</f>
        <v/>
      </c>
      <c r="T133" s="222" t="str">
        <f ca="1">IF(B133="","",IF(ISERROR(MATCH($J133,SorP!$B$1:$B$6230,0)),"",INDIRECT("'SorP'!$A$"&amp;MATCH($J133,SorP!$B$1:$B$6230,0))))</f>
        <v/>
      </c>
      <c r="U133" s="238"/>
      <c r="V133" s="270" t="e">
        <f>IF(C133="",NA(),MATCH($B133&amp;$C133,'Smelter Look-up'!$J:$J,0))</f>
        <v>#N/A</v>
      </c>
      <c r="W133" s="271"/>
      <c r="X133" s="271">
        <f t="shared" ref="X133" ca="1" si="19">IF(AND(C133="Smelter not listed",OR(LEN(D133)=0,LEN(E133)=0)),1,0)</f>
        <v>0</v>
      </c>
      <c r="Y133" s="271"/>
      <c r="Z133" s="271"/>
      <c r="AB133" s="273" t="str">
        <f t="shared" ref="AB133" si="20">B133&amp;C133</f>
        <v/>
      </c>
    </row>
    <row r="134" spans="1:28" s="272" customFormat="1" ht="20.399999999999999">
      <c r="A134" s="214"/>
      <c r="B134" s="215" t="str">
        <f>IF(LEN(A134)=0,"",INDEX('Smelter Look-up'!$A:$A,MATCH($A134,'Smelter Look-up'!$E:$E,0)))</f>
        <v/>
      </c>
      <c r="C134" s="219" t="str">
        <f>IF(LEN(A134)=0,"",INDEX('Smelter Look-up'!$C:$C,MATCH($A134,'Smelter Look-up'!$E:$E,0)))</f>
        <v/>
      </c>
      <c r="D134" s="278"/>
      <c r="E134" s="215" t="str">
        <f ca="1">IF(ISERROR($V134),"",OFFSET('Smelter Look-up'!$D$4,$V134-4,0)&amp;"")</f>
        <v/>
      </c>
      <c r="F134" s="215" t="str">
        <f ca="1">IF(ISERROR($V134),"",OFFSET('Smelter Look-up'!$E$4,$V134-4,0))</f>
        <v/>
      </c>
      <c r="G134" s="215" t="str">
        <f ca="1">IF(C134=$X$4,"Enter smelter details",IF(ISERROR($V134),"",OFFSET('Smelter Look-up'!$F$4,$V134-4,0)))</f>
        <v/>
      </c>
      <c r="H134" s="216" t="str">
        <f ca="1">IF(ISERROR($V134),"",OFFSET('Smelter Look-up'!$G$4,$V134-4,0))</f>
        <v/>
      </c>
      <c r="I134" s="217" t="str">
        <f ca="1">IF(ISERROR($V134),"",OFFSET('Smelter Look-up'!$H$4,$V134-4,0))</f>
        <v/>
      </c>
      <c r="J134" s="217" t="str">
        <f ca="1">IF(ISERROR($V134),"",OFFSET('Smelter Look-up'!$I$4,$V134-4,0))</f>
        <v/>
      </c>
      <c r="K134" s="268"/>
      <c r="L134" s="268"/>
      <c r="M134" s="268"/>
      <c r="N134" s="268"/>
      <c r="O134" s="268"/>
      <c r="P134" s="218"/>
      <c r="Q134" s="269"/>
      <c r="R134" s="215" t="str">
        <f ca="1">IF(ISERROR($V134),"",OFFSET('Smelter Look-up'!$C$4,$V134-4,0)&amp;"")</f>
        <v/>
      </c>
      <c r="S134" s="222" t="str">
        <f t="shared" ref="S134:S165" ca="1" si="21">IF(B134="","",IF(ISERROR(MATCH($E134,CL,0)),"Unknown",INDIRECT("'C'!$A$"&amp;MATCH($E134,CL,0)+1)))</f>
        <v/>
      </c>
      <c r="T134" s="222" t="str">
        <f ca="1">IF(B134="","",IF(ISERROR(MATCH($J134,SorP!$B$1:$B$6230,0)),"",INDIRECT("'SorP'!$A$"&amp;MATCH($J134,SorP!$B$1:$B$6230,0))))</f>
        <v/>
      </c>
      <c r="U134" s="238"/>
      <c r="V134" s="270" t="e">
        <f>IF(C134="",NA(),MATCH($B134&amp;$C134,'Smelter Look-up'!$J:$J,0))</f>
        <v>#N/A</v>
      </c>
      <c r="W134" s="271"/>
      <c r="X134" s="271">
        <f t="shared" ref="X134:X165" ca="1" si="22">IF(AND(C134="Smelter not listed",OR(LEN(D134)=0,LEN(E134)=0)),1,0)</f>
        <v>0</v>
      </c>
      <c r="Y134" s="271"/>
      <c r="Z134" s="271"/>
      <c r="AB134" s="273" t="str">
        <f t="shared" ref="AB134:AB165" si="23">B134&amp;C134</f>
        <v/>
      </c>
    </row>
    <row r="135" spans="1:28" s="272" customFormat="1" ht="20.399999999999999">
      <c r="A135" s="214"/>
      <c r="B135" s="215" t="str">
        <f>IF(LEN(A135)=0,"",INDEX('Smelter Look-up'!$A:$A,MATCH($A135,'Smelter Look-up'!$E:$E,0)))</f>
        <v/>
      </c>
      <c r="C135" s="219" t="str">
        <f>IF(LEN(A135)=0,"",INDEX('Smelter Look-up'!$C:$C,MATCH($A135,'Smelter Look-up'!$E:$E,0)))</f>
        <v/>
      </c>
      <c r="D135" s="278"/>
      <c r="E135" s="215" t="str">
        <f ca="1">IF(ISERROR($V135),"",OFFSET('Smelter Look-up'!$D$4,$V135-4,0)&amp;"")</f>
        <v/>
      </c>
      <c r="F135" s="215" t="str">
        <f ca="1">IF(ISERROR($V135),"",OFFSET('Smelter Look-up'!$E$4,$V135-4,0))</f>
        <v/>
      </c>
      <c r="G135" s="215" t="str">
        <f ca="1">IF(C135=$X$4,"Enter smelter details",IF(ISERROR($V135),"",OFFSET('Smelter Look-up'!$F$4,$V135-4,0)))</f>
        <v/>
      </c>
      <c r="H135" s="216" t="str">
        <f ca="1">IF(ISERROR($V135),"",OFFSET('Smelter Look-up'!$G$4,$V135-4,0))</f>
        <v/>
      </c>
      <c r="I135" s="217" t="str">
        <f ca="1">IF(ISERROR($V135),"",OFFSET('Smelter Look-up'!$H$4,$V135-4,0))</f>
        <v/>
      </c>
      <c r="J135" s="217" t="str">
        <f ca="1">IF(ISERROR($V135),"",OFFSET('Smelter Look-up'!$I$4,$V135-4,0))</f>
        <v/>
      </c>
      <c r="K135" s="268"/>
      <c r="L135" s="268"/>
      <c r="M135" s="268"/>
      <c r="N135" s="268"/>
      <c r="O135" s="268"/>
      <c r="P135" s="218"/>
      <c r="Q135" s="269"/>
      <c r="R135" s="215" t="str">
        <f ca="1">IF(ISERROR($V135),"",OFFSET('Smelter Look-up'!$C$4,$V135-4,0)&amp;"")</f>
        <v/>
      </c>
      <c r="S135" s="222" t="str">
        <f t="shared" ca="1" si="21"/>
        <v/>
      </c>
      <c r="T135" s="222" t="str">
        <f ca="1">IF(B135="","",IF(ISERROR(MATCH($J135,SorP!$B$1:$B$6230,0)),"",INDIRECT("'SorP'!$A$"&amp;MATCH($J135,SorP!$B$1:$B$6230,0))))</f>
        <v/>
      </c>
      <c r="U135" s="238"/>
      <c r="V135" s="270" t="e">
        <f>IF(C135="",NA(),MATCH($B135&amp;$C135,'Smelter Look-up'!$J:$J,0))</f>
        <v>#N/A</v>
      </c>
      <c r="W135" s="271"/>
      <c r="X135" s="271">
        <f t="shared" ca="1" si="22"/>
        <v>0</v>
      </c>
      <c r="Y135" s="271"/>
      <c r="Z135" s="271"/>
      <c r="AB135" s="273" t="str">
        <f t="shared" si="23"/>
        <v/>
      </c>
    </row>
    <row r="136" spans="1:28" s="272" customFormat="1" ht="20.399999999999999">
      <c r="A136" s="214"/>
      <c r="B136" s="215" t="str">
        <f>IF(LEN(A136)=0,"",INDEX('Smelter Look-up'!$A:$A,MATCH($A136,'Smelter Look-up'!$E:$E,0)))</f>
        <v/>
      </c>
      <c r="C136" s="219" t="str">
        <f>IF(LEN(A136)=0,"",INDEX('Smelter Look-up'!$C:$C,MATCH($A136,'Smelter Look-up'!$E:$E,0)))</f>
        <v/>
      </c>
      <c r="D136" s="278"/>
      <c r="E136" s="215" t="str">
        <f ca="1">IF(ISERROR($V136),"",OFFSET('Smelter Look-up'!$D$4,$V136-4,0)&amp;"")</f>
        <v/>
      </c>
      <c r="F136" s="215" t="str">
        <f ca="1">IF(ISERROR($V136),"",OFFSET('Smelter Look-up'!$E$4,$V136-4,0))</f>
        <v/>
      </c>
      <c r="G136" s="215" t="str">
        <f ca="1">IF(C136=$X$4,"Enter smelter details",IF(ISERROR($V136),"",OFFSET('Smelter Look-up'!$F$4,$V136-4,0)))</f>
        <v/>
      </c>
      <c r="H136" s="216" t="str">
        <f ca="1">IF(ISERROR($V136),"",OFFSET('Smelter Look-up'!$G$4,$V136-4,0))</f>
        <v/>
      </c>
      <c r="I136" s="217" t="str">
        <f ca="1">IF(ISERROR($V136),"",OFFSET('Smelter Look-up'!$H$4,$V136-4,0))</f>
        <v/>
      </c>
      <c r="J136" s="217" t="str">
        <f ca="1">IF(ISERROR($V136),"",OFFSET('Smelter Look-up'!$I$4,$V136-4,0))</f>
        <v/>
      </c>
      <c r="K136" s="268"/>
      <c r="L136" s="268"/>
      <c r="M136" s="268"/>
      <c r="N136" s="268"/>
      <c r="O136" s="268"/>
      <c r="P136" s="218"/>
      <c r="Q136" s="269"/>
      <c r="R136" s="215" t="str">
        <f ca="1">IF(ISERROR($V136),"",OFFSET('Smelter Look-up'!$C$4,$V136-4,0)&amp;"")</f>
        <v/>
      </c>
      <c r="S136" s="222" t="str">
        <f t="shared" ca="1" si="21"/>
        <v/>
      </c>
      <c r="T136" s="222" t="str">
        <f ca="1">IF(B136="","",IF(ISERROR(MATCH($J136,SorP!$B$1:$B$6230,0)),"",INDIRECT("'SorP'!$A$"&amp;MATCH($J136,SorP!$B$1:$B$6230,0))))</f>
        <v/>
      </c>
      <c r="U136" s="238"/>
      <c r="V136" s="270" t="e">
        <f>IF(C136="",NA(),MATCH($B136&amp;$C136,'Smelter Look-up'!$J:$J,0))</f>
        <v>#N/A</v>
      </c>
      <c r="W136" s="271"/>
      <c r="X136" s="271">
        <f t="shared" ca="1" si="22"/>
        <v>0</v>
      </c>
      <c r="Y136" s="271"/>
      <c r="Z136" s="271"/>
      <c r="AB136" s="273" t="str">
        <f t="shared" si="23"/>
        <v/>
      </c>
    </row>
    <row r="137" spans="1:28" s="272" customFormat="1" ht="20.399999999999999">
      <c r="A137" s="214"/>
      <c r="B137" s="215" t="str">
        <f>IF(LEN(A137)=0,"",INDEX('Smelter Look-up'!$A:$A,MATCH($A137,'Smelter Look-up'!$E:$E,0)))</f>
        <v/>
      </c>
      <c r="C137" s="219" t="str">
        <f>IF(LEN(A137)=0,"",INDEX('Smelter Look-up'!$C:$C,MATCH($A137,'Smelter Look-up'!$E:$E,0)))</f>
        <v/>
      </c>
      <c r="D137" s="278"/>
      <c r="E137" s="215" t="str">
        <f ca="1">IF(ISERROR($V137),"",OFFSET('Smelter Look-up'!$D$4,$V137-4,0)&amp;"")</f>
        <v/>
      </c>
      <c r="F137" s="215" t="str">
        <f ca="1">IF(ISERROR($V137),"",OFFSET('Smelter Look-up'!$E$4,$V137-4,0))</f>
        <v/>
      </c>
      <c r="G137" s="215" t="str">
        <f ca="1">IF(C137=$X$4,"Enter smelter details",IF(ISERROR($V137),"",OFFSET('Smelter Look-up'!$F$4,$V137-4,0)))</f>
        <v/>
      </c>
      <c r="H137" s="216" t="str">
        <f ca="1">IF(ISERROR($V137),"",OFFSET('Smelter Look-up'!$G$4,$V137-4,0))</f>
        <v/>
      </c>
      <c r="I137" s="217" t="str">
        <f ca="1">IF(ISERROR($V137),"",OFFSET('Smelter Look-up'!$H$4,$V137-4,0))</f>
        <v/>
      </c>
      <c r="J137" s="217" t="str">
        <f ca="1">IF(ISERROR($V137),"",OFFSET('Smelter Look-up'!$I$4,$V137-4,0))</f>
        <v/>
      </c>
      <c r="K137" s="268"/>
      <c r="L137" s="268"/>
      <c r="M137" s="268"/>
      <c r="N137" s="268"/>
      <c r="O137" s="268"/>
      <c r="P137" s="218"/>
      <c r="Q137" s="269"/>
      <c r="R137" s="215" t="str">
        <f ca="1">IF(ISERROR($V137),"",OFFSET('Smelter Look-up'!$C$4,$V137-4,0)&amp;"")</f>
        <v/>
      </c>
      <c r="S137" s="222" t="str">
        <f t="shared" ca="1" si="21"/>
        <v/>
      </c>
      <c r="T137" s="222" t="str">
        <f ca="1">IF(B137="","",IF(ISERROR(MATCH($J137,SorP!$B$1:$B$6230,0)),"",INDIRECT("'SorP'!$A$"&amp;MATCH($J137,SorP!$B$1:$B$6230,0))))</f>
        <v/>
      </c>
      <c r="U137" s="238"/>
      <c r="V137" s="270" t="e">
        <f>IF(C137="",NA(),MATCH($B137&amp;$C137,'Smelter Look-up'!$J:$J,0))</f>
        <v>#N/A</v>
      </c>
      <c r="W137" s="271"/>
      <c r="X137" s="271">
        <f t="shared" ca="1" si="22"/>
        <v>0</v>
      </c>
      <c r="Y137" s="271"/>
      <c r="Z137" s="271"/>
      <c r="AB137" s="273" t="str">
        <f t="shared" si="23"/>
        <v/>
      </c>
    </row>
    <row r="138" spans="1:28" s="272" customFormat="1" ht="20.399999999999999">
      <c r="A138" s="214"/>
      <c r="B138" s="215" t="str">
        <f>IF(LEN(A138)=0,"",INDEX('Smelter Look-up'!$A:$A,MATCH($A138,'Smelter Look-up'!$E:$E,0)))</f>
        <v/>
      </c>
      <c r="C138" s="219" t="str">
        <f>IF(LEN(A138)=0,"",INDEX('Smelter Look-up'!$C:$C,MATCH($A138,'Smelter Look-up'!$E:$E,0)))</f>
        <v/>
      </c>
      <c r="D138" s="278"/>
      <c r="E138" s="215" t="str">
        <f ca="1">IF(ISERROR($V138),"",OFFSET('Smelter Look-up'!$D$4,$V138-4,0)&amp;"")</f>
        <v/>
      </c>
      <c r="F138" s="215" t="str">
        <f ca="1">IF(ISERROR($V138),"",OFFSET('Smelter Look-up'!$E$4,$V138-4,0))</f>
        <v/>
      </c>
      <c r="G138" s="215" t="str">
        <f ca="1">IF(C138=$X$4,"Enter smelter details",IF(ISERROR($V138),"",OFFSET('Smelter Look-up'!$F$4,$V138-4,0)))</f>
        <v/>
      </c>
      <c r="H138" s="216" t="str">
        <f ca="1">IF(ISERROR($V138),"",OFFSET('Smelter Look-up'!$G$4,$V138-4,0))</f>
        <v/>
      </c>
      <c r="I138" s="217" t="str">
        <f ca="1">IF(ISERROR($V138),"",OFFSET('Smelter Look-up'!$H$4,$V138-4,0))</f>
        <v/>
      </c>
      <c r="J138" s="217" t="str">
        <f ca="1">IF(ISERROR($V138),"",OFFSET('Smelter Look-up'!$I$4,$V138-4,0))</f>
        <v/>
      </c>
      <c r="K138" s="268"/>
      <c r="L138" s="268"/>
      <c r="M138" s="268"/>
      <c r="N138" s="268"/>
      <c r="O138" s="268"/>
      <c r="P138" s="218"/>
      <c r="Q138" s="269"/>
      <c r="R138" s="215" t="str">
        <f ca="1">IF(ISERROR($V138),"",OFFSET('Smelter Look-up'!$C$4,$V138-4,0)&amp;"")</f>
        <v/>
      </c>
      <c r="S138" s="222" t="str">
        <f t="shared" ca="1" si="21"/>
        <v/>
      </c>
      <c r="T138" s="222" t="str">
        <f ca="1">IF(B138="","",IF(ISERROR(MATCH($J138,SorP!$B$1:$B$6230,0)),"",INDIRECT("'SorP'!$A$"&amp;MATCH($J138,SorP!$B$1:$B$6230,0))))</f>
        <v/>
      </c>
      <c r="U138" s="238"/>
      <c r="V138" s="270" t="e">
        <f>IF(C138="",NA(),MATCH($B138&amp;$C138,'Smelter Look-up'!$J:$J,0))</f>
        <v>#N/A</v>
      </c>
      <c r="W138" s="271"/>
      <c r="X138" s="271">
        <f t="shared" ca="1" si="22"/>
        <v>0</v>
      </c>
      <c r="Y138" s="271"/>
      <c r="Z138" s="271"/>
      <c r="AB138" s="273" t="str">
        <f t="shared" si="23"/>
        <v/>
      </c>
    </row>
    <row r="139" spans="1:28" s="272" customFormat="1" ht="20.399999999999999">
      <c r="A139" s="214"/>
      <c r="B139" s="215" t="str">
        <f>IF(LEN(A139)=0,"",INDEX('Smelter Look-up'!$A:$A,MATCH($A139,'Smelter Look-up'!$E:$E,0)))</f>
        <v/>
      </c>
      <c r="C139" s="219" t="str">
        <f>IF(LEN(A139)=0,"",INDEX('Smelter Look-up'!$C:$C,MATCH($A139,'Smelter Look-up'!$E:$E,0)))</f>
        <v/>
      </c>
      <c r="D139" s="278"/>
      <c r="E139" s="215" t="str">
        <f ca="1">IF(ISERROR($V139),"",OFFSET('Smelter Look-up'!$D$4,$V139-4,0)&amp;"")</f>
        <v/>
      </c>
      <c r="F139" s="215" t="str">
        <f ca="1">IF(ISERROR($V139),"",OFFSET('Smelter Look-up'!$E$4,$V139-4,0))</f>
        <v/>
      </c>
      <c r="G139" s="215" t="str">
        <f ca="1">IF(C139=$X$4,"Enter smelter details",IF(ISERROR($V139),"",OFFSET('Smelter Look-up'!$F$4,$V139-4,0)))</f>
        <v/>
      </c>
      <c r="H139" s="216" t="str">
        <f ca="1">IF(ISERROR($V139),"",OFFSET('Smelter Look-up'!$G$4,$V139-4,0))</f>
        <v/>
      </c>
      <c r="I139" s="217" t="str">
        <f ca="1">IF(ISERROR($V139),"",OFFSET('Smelter Look-up'!$H$4,$V139-4,0))</f>
        <v/>
      </c>
      <c r="J139" s="217" t="str">
        <f ca="1">IF(ISERROR($V139),"",OFFSET('Smelter Look-up'!$I$4,$V139-4,0))</f>
        <v/>
      </c>
      <c r="K139" s="268"/>
      <c r="L139" s="268"/>
      <c r="M139" s="268"/>
      <c r="N139" s="268"/>
      <c r="O139" s="268"/>
      <c r="P139" s="218"/>
      <c r="Q139" s="269"/>
      <c r="R139" s="215" t="str">
        <f ca="1">IF(ISERROR($V139),"",OFFSET('Smelter Look-up'!$C$4,$V139-4,0)&amp;"")</f>
        <v/>
      </c>
      <c r="S139" s="222" t="str">
        <f t="shared" ca="1" si="21"/>
        <v/>
      </c>
      <c r="T139" s="222" t="str">
        <f ca="1">IF(B139="","",IF(ISERROR(MATCH($J139,SorP!$B$1:$B$6230,0)),"",INDIRECT("'SorP'!$A$"&amp;MATCH($J139,SorP!$B$1:$B$6230,0))))</f>
        <v/>
      </c>
      <c r="U139" s="238"/>
      <c r="V139" s="270" t="e">
        <f>IF(C139="",NA(),MATCH($B139&amp;$C139,'Smelter Look-up'!$J:$J,0))</f>
        <v>#N/A</v>
      </c>
      <c r="W139" s="271"/>
      <c r="X139" s="271">
        <f t="shared" ca="1" si="22"/>
        <v>0</v>
      </c>
      <c r="Y139" s="271"/>
      <c r="Z139" s="271"/>
      <c r="AB139" s="273" t="str">
        <f t="shared" si="23"/>
        <v/>
      </c>
    </row>
    <row r="140" spans="1:28" s="272" customFormat="1" ht="20.399999999999999">
      <c r="A140" s="214"/>
      <c r="B140" s="215" t="str">
        <f>IF(LEN(A140)=0,"",INDEX('Smelter Look-up'!$A:$A,MATCH($A140,'Smelter Look-up'!$E:$E,0)))</f>
        <v/>
      </c>
      <c r="C140" s="219" t="str">
        <f>IF(LEN(A140)=0,"",INDEX('Smelter Look-up'!$C:$C,MATCH($A140,'Smelter Look-up'!$E:$E,0)))</f>
        <v/>
      </c>
      <c r="D140" s="278"/>
      <c r="E140" s="215" t="str">
        <f ca="1">IF(ISERROR($V140),"",OFFSET('Smelter Look-up'!$D$4,$V140-4,0)&amp;"")</f>
        <v/>
      </c>
      <c r="F140" s="215" t="str">
        <f ca="1">IF(ISERROR($V140),"",OFFSET('Smelter Look-up'!$E$4,$V140-4,0))</f>
        <v/>
      </c>
      <c r="G140" s="215" t="str">
        <f ca="1">IF(C140=$X$4,"Enter smelter details",IF(ISERROR($V140),"",OFFSET('Smelter Look-up'!$F$4,$V140-4,0)))</f>
        <v/>
      </c>
      <c r="H140" s="216" t="str">
        <f ca="1">IF(ISERROR($V140),"",OFFSET('Smelter Look-up'!$G$4,$V140-4,0))</f>
        <v/>
      </c>
      <c r="I140" s="217" t="str">
        <f ca="1">IF(ISERROR($V140),"",OFFSET('Smelter Look-up'!$H$4,$V140-4,0))</f>
        <v/>
      </c>
      <c r="J140" s="217" t="str">
        <f ca="1">IF(ISERROR($V140),"",OFFSET('Smelter Look-up'!$I$4,$V140-4,0))</f>
        <v/>
      </c>
      <c r="K140" s="268"/>
      <c r="L140" s="268"/>
      <c r="M140" s="268"/>
      <c r="N140" s="268"/>
      <c r="O140" s="268"/>
      <c r="P140" s="218"/>
      <c r="Q140" s="269"/>
      <c r="R140" s="215" t="str">
        <f ca="1">IF(ISERROR($V140),"",OFFSET('Smelter Look-up'!$C$4,$V140-4,0)&amp;"")</f>
        <v/>
      </c>
      <c r="S140" s="222" t="str">
        <f t="shared" ca="1" si="21"/>
        <v/>
      </c>
      <c r="T140" s="222" t="str">
        <f ca="1">IF(B140="","",IF(ISERROR(MATCH($J140,SorP!$B$1:$B$6230,0)),"",INDIRECT("'SorP'!$A$"&amp;MATCH($J140,SorP!$B$1:$B$6230,0))))</f>
        <v/>
      </c>
      <c r="U140" s="238"/>
      <c r="V140" s="270" t="e">
        <f>IF(C140="",NA(),MATCH($B140&amp;$C140,'Smelter Look-up'!$J:$J,0))</f>
        <v>#N/A</v>
      </c>
      <c r="W140" s="271"/>
      <c r="X140" s="271">
        <f t="shared" ca="1" si="22"/>
        <v>0</v>
      </c>
      <c r="Y140" s="271"/>
      <c r="Z140" s="271"/>
      <c r="AB140" s="273" t="str">
        <f t="shared" si="23"/>
        <v/>
      </c>
    </row>
    <row r="141" spans="1:28" s="272" customFormat="1" ht="20.399999999999999">
      <c r="A141" s="214"/>
      <c r="B141" s="215" t="str">
        <f>IF(LEN(A141)=0,"",INDEX('Smelter Look-up'!$A:$A,MATCH($A141,'Smelter Look-up'!$E:$E,0)))</f>
        <v/>
      </c>
      <c r="C141" s="219" t="str">
        <f>IF(LEN(A141)=0,"",INDEX('Smelter Look-up'!$C:$C,MATCH($A141,'Smelter Look-up'!$E:$E,0)))</f>
        <v/>
      </c>
      <c r="D141" s="278"/>
      <c r="E141" s="215" t="str">
        <f ca="1">IF(ISERROR($V141),"",OFFSET('Smelter Look-up'!$D$4,$V141-4,0)&amp;"")</f>
        <v/>
      </c>
      <c r="F141" s="215" t="str">
        <f ca="1">IF(ISERROR($V141),"",OFFSET('Smelter Look-up'!$E$4,$V141-4,0))</f>
        <v/>
      </c>
      <c r="G141" s="215" t="str">
        <f ca="1">IF(C141=$X$4,"Enter smelter details",IF(ISERROR($V141),"",OFFSET('Smelter Look-up'!$F$4,$V141-4,0)))</f>
        <v/>
      </c>
      <c r="H141" s="216" t="str">
        <f ca="1">IF(ISERROR($V141),"",OFFSET('Smelter Look-up'!$G$4,$V141-4,0))</f>
        <v/>
      </c>
      <c r="I141" s="217" t="str">
        <f ca="1">IF(ISERROR($V141),"",OFFSET('Smelter Look-up'!$H$4,$V141-4,0))</f>
        <v/>
      </c>
      <c r="J141" s="217" t="str">
        <f ca="1">IF(ISERROR($V141),"",OFFSET('Smelter Look-up'!$I$4,$V141-4,0))</f>
        <v/>
      </c>
      <c r="K141" s="268"/>
      <c r="L141" s="268"/>
      <c r="M141" s="268"/>
      <c r="N141" s="268"/>
      <c r="O141" s="268"/>
      <c r="P141" s="218"/>
      <c r="Q141" s="269"/>
      <c r="R141" s="215" t="str">
        <f ca="1">IF(ISERROR($V141),"",OFFSET('Smelter Look-up'!$C$4,$V141-4,0)&amp;"")</f>
        <v/>
      </c>
      <c r="S141" s="222" t="str">
        <f t="shared" ca="1" si="21"/>
        <v/>
      </c>
      <c r="T141" s="222" t="str">
        <f ca="1">IF(B141="","",IF(ISERROR(MATCH($J141,SorP!$B$1:$B$6230,0)),"",INDIRECT("'SorP'!$A$"&amp;MATCH($J141,SorP!$B$1:$B$6230,0))))</f>
        <v/>
      </c>
      <c r="U141" s="238"/>
      <c r="V141" s="270" t="e">
        <f>IF(C141="",NA(),MATCH($B141&amp;$C141,'Smelter Look-up'!$J:$J,0))</f>
        <v>#N/A</v>
      </c>
      <c r="W141" s="271"/>
      <c r="X141" s="271">
        <f t="shared" ca="1" si="22"/>
        <v>0</v>
      </c>
      <c r="Y141" s="271"/>
      <c r="Z141" s="271"/>
      <c r="AB141" s="273" t="str">
        <f t="shared" si="23"/>
        <v/>
      </c>
    </row>
    <row r="142" spans="1:28" s="272" customFormat="1" ht="20.399999999999999">
      <c r="A142" s="214"/>
      <c r="B142" s="215" t="str">
        <f>IF(LEN(A142)=0,"",INDEX('Smelter Look-up'!$A:$A,MATCH($A142,'Smelter Look-up'!$E:$E,0)))</f>
        <v/>
      </c>
      <c r="C142" s="219" t="str">
        <f>IF(LEN(A142)=0,"",INDEX('Smelter Look-up'!$C:$C,MATCH($A142,'Smelter Look-up'!$E:$E,0)))</f>
        <v/>
      </c>
      <c r="D142" s="278"/>
      <c r="E142" s="215" t="str">
        <f ca="1">IF(ISERROR($V142),"",OFFSET('Smelter Look-up'!$D$4,$V142-4,0)&amp;"")</f>
        <v/>
      </c>
      <c r="F142" s="215" t="str">
        <f ca="1">IF(ISERROR($V142),"",OFFSET('Smelter Look-up'!$E$4,$V142-4,0))</f>
        <v/>
      </c>
      <c r="G142" s="215" t="str">
        <f ca="1">IF(C142=$X$4,"Enter smelter details",IF(ISERROR($V142),"",OFFSET('Smelter Look-up'!$F$4,$V142-4,0)))</f>
        <v/>
      </c>
      <c r="H142" s="216" t="str">
        <f ca="1">IF(ISERROR($V142),"",OFFSET('Smelter Look-up'!$G$4,$V142-4,0))</f>
        <v/>
      </c>
      <c r="I142" s="217" t="str">
        <f ca="1">IF(ISERROR($V142),"",OFFSET('Smelter Look-up'!$H$4,$V142-4,0))</f>
        <v/>
      </c>
      <c r="J142" s="217" t="str">
        <f ca="1">IF(ISERROR($V142),"",OFFSET('Smelter Look-up'!$I$4,$V142-4,0))</f>
        <v/>
      </c>
      <c r="K142" s="268"/>
      <c r="L142" s="268"/>
      <c r="M142" s="268"/>
      <c r="N142" s="268"/>
      <c r="O142" s="268"/>
      <c r="P142" s="218"/>
      <c r="Q142" s="269"/>
      <c r="R142" s="215" t="str">
        <f ca="1">IF(ISERROR($V142),"",OFFSET('Smelter Look-up'!$C$4,$V142-4,0)&amp;"")</f>
        <v/>
      </c>
      <c r="S142" s="222" t="str">
        <f t="shared" ca="1" si="21"/>
        <v/>
      </c>
      <c r="T142" s="222" t="str">
        <f ca="1">IF(B142="","",IF(ISERROR(MATCH($J142,SorP!$B$1:$B$6230,0)),"",INDIRECT("'SorP'!$A$"&amp;MATCH($J142,SorP!$B$1:$B$6230,0))))</f>
        <v/>
      </c>
      <c r="U142" s="238"/>
      <c r="V142" s="270" t="e">
        <f>IF(C142="",NA(),MATCH($B142&amp;$C142,'Smelter Look-up'!$J:$J,0))</f>
        <v>#N/A</v>
      </c>
      <c r="W142" s="271"/>
      <c r="X142" s="271">
        <f t="shared" ca="1" si="22"/>
        <v>0</v>
      </c>
      <c r="Y142" s="271"/>
      <c r="Z142" s="271"/>
      <c r="AB142" s="273" t="str">
        <f t="shared" si="23"/>
        <v/>
      </c>
    </row>
    <row r="143" spans="1:28" s="272" customFormat="1" ht="20.399999999999999">
      <c r="A143" s="214"/>
      <c r="B143" s="215" t="str">
        <f>IF(LEN(A143)=0,"",INDEX('Smelter Look-up'!$A:$A,MATCH($A143,'Smelter Look-up'!$E:$E,0)))</f>
        <v/>
      </c>
      <c r="C143" s="219" t="str">
        <f>IF(LEN(A143)=0,"",INDEX('Smelter Look-up'!$C:$C,MATCH($A143,'Smelter Look-up'!$E:$E,0)))</f>
        <v/>
      </c>
      <c r="D143" s="278"/>
      <c r="E143" s="215" t="str">
        <f ca="1">IF(ISERROR($V143),"",OFFSET('Smelter Look-up'!$D$4,$V143-4,0)&amp;"")</f>
        <v/>
      </c>
      <c r="F143" s="215" t="str">
        <f ca="1">IF(ISERROR($V143),"",OFFSET('Smelter Look-up'!$E$4,$V143-4,0))</f>
        <v/>
      </c>
      <c r="G143" s="215" t="str">
        <f ca="1">IF(C143=$X$4,"Enter smelter details",IF(ISERROR($V143),"",OFFSET('Smelter Look-up'!$F$4,$V143-4,0)))</f>
        <v/>
      </c>
      <c r="H143" s="216" t="str">
        <f ca="1">IF(ISERROR($V143),"",OFFSET('Smelter Look-up'!$G$4,$V143-4,0))</f>
        <v/>
      </c>
      <c r="I143" s="217" t="str">
        <f ca="1">IF(ISERROR($V143),"",OFFSET('Smelter Look-up'!$H$4,$V143-4,0))</f>
        <v/>
      </c>
      <c r="J143" s="217" t="str">
        <f ca="1">IF(ISERROR($V143),"",OFFSET('Smelter Look-up'!$I$4,$V143-4,0))</f>
        <v/>
      </c>
      <c r="K143" s="268"/>
      <c r="L143" s="268"/>
      <c r="M143" s="268"/>
      <c r="N143" s="268"/>
      <c r="O143" s="268"/>
      <c r="P143" s="218"/>
      <c r="Q143" s="269"/>
      <c r="R143" s="215" t="str">
        <f ca="1">IF(ISERROR($V143),"",OFFSET('Smelter Look-up'!$C$4,$V143-4,0)&amp;"")</f>
        <v/>
      </c>
      <c r="S143" s="222" t="str">
        <f t="shared" ca="1" si="21"/>
        <v/>
      </c>
      <c r="T143" s="222" t="str">
        <f ca="1">IF(B143="","",IF(ISERROR(MATCH($J143,SorP!$B$1:$B$6230,0)),"",INDIRECT("'SorP'!$A$"&amp;MATCH($J143,SorP!$B$1:$B$6230,0))))</f>
        <v/>
      </c>
      <c r="U143" s="238"/>
      <c r="V143" s="270" t="e">
        <f>IF(C143="",NA(),MATCH($B143&amp;$C143,'Smelter Look-up'!$J:$J,0))</f>
        <v>#N/A</v>
      </c>
      <c r="W143" s="271"/>
      <c r="X143" s="271">
        <f t="shared" ca="1" si="22"/>
        <v>0</v>
      </c>
      <c r="Y143" s="271"/>
      <c r="Z143" s="271"/>
      <c r="AB143" s="273" t="str">
        <f t="shared" si="23"/>
        <v/>
      </c>
    </row>
    <row r="144" spans="1:28" s="272" customFormat="1" ht="20.399999999999999">
      <c r="A144" s="214"/>
      <c r="B144" s="215" t="str">
        <f>IF(LEN(A144)=0,"",INDEX('Smelter Look-up'!$A:$A,MATCH($A144,'Smelter Look-up'!$E:$E,0)))</f>
        <v/>
      </c>
      <c r="C144" s="219" t="str">
        <f>IF(LEN(A144)=0,"",INDEX('Smelter Look-up'!$C:$C,MATCH($A144,'Smelter Look-up'!$E:$E,0)))</f>
        <v/>
      </c>
      <c r="D144" s="278"/>
      <c r="E144" s="215" t="str">
        <f ca="1">IF(ISERROR($V144),"",OFFSET('Smelter Look-up'!$D$4,$V144-4,0)&amp;"")</f>
        <v/>
      </c>
      <c r="F144" s="215" t="str">
        <f ca="1">IF(ISERROR($V144),"",OFFSET('Smelter Look-up'!$E$4,$V144-4,0))</f>
        <v/>
      </c>
      <c r="G144" s="215" t="str">
        <f ca="1">IF(C144=$X$4,"Enter smelter details",IF(ISERROR($V144),"",OFFSET('Smelter Look-up'!$F$4,$V144-4,0)))</f>
        <v/>
      </c>
      <c r="H144" s="216" t="str">
        <f ca="1">IF(ISERROR($V144),"",OFFSET('Smelter Look-up'!$G$4,$V144-4,0))</f>
        <v/>
      </c>
      <c r="I144" s="217" t="str">
        <f ca="1">IF(ISERROR($V144),"",OFFSET('Smelter Look-up'!$H$4,$V144-4,0))</f>
        <v/>
      </c>
      <c r="J144" s="217" t="str">
        <f ca="1">IF(ISERROR($V144),"",OFFSET('Smelter Look-up'!$I$4,$V144-4,0))</f>
        <v/>
      </c>
      <c r="K144" s="268"/>
      <c r="L144" s="268"/>
      <c r="M144" s="268"/>
      <c r="N144" s="268"/>
      <c r="O144" s="268"/>
      <c r="P144" s="218"/>
      <c r="Q144" s="269"/>
      <c r="R144" s="215" t="str">
        <f ca="1">IF(ISERROR($V144),"",OFFSET('Smelter Look-up'!$C$4,$V144-4,0)&amp;"")</f>
        <v/>
      </c>
      <c r="S144" s="222" t="str">
        <f t="shared" ca="1" si="21"/>
        <v/>
      </c>
      <c r="T144" s="222" t="str">
        <f ca="1">IF(B144="","",IF(ISERROR(MATCH($J144,SorP!$B$1:$B$6230,0)),"",INDIRECT("'SorP'!$A$"&amp;MATCH($J144,SorP!$B$1:$B$6230,0))))</f>
        <v/>
      </c>
      <c r="U144" s="238"/>
      <c r="V144" s="270" t="e">
        <f>IF(C144="",NA(),MATCH($B144&amp;$C144,'Smelter Look-up'!$J:$J,0))</f>
        <v>#N/A</v>
      </c>
      <c r="W144" s="271"/>
      <c r="X144" s="271">
        <f t="shared" ca="1" si="22"/>
        <v>0</v>
      </c>
      <c r="Y144" s="271"/>
      <c r="Z144" s="271"/>
      <c r="AB144" s="273" t="str">
        <f t="shared" si="23"/>
        <v/>
      </c>
    </row>
    <row r="145" spans="1:28" s="272" customFormat="1" ht="20.399999999999999">
      <c r="A145" s="214"/>
      <c r="B145" s="215" t="str">
        <f>IF(LEN(A145)=0,"",INDEX('Smelter Look-up'!$A:$A,MATCH($A145,'Smelter Look-up'!$E:$E,0)))</f>
        <v/>
      </c>
      <c r="C145" s="219" t="str">
        <f>IF(LEN(A145)=0,"",INDEX('Smelter Look-up'!$C:$C,MATCH($A145,'Smelter Look-up'!$E:$E,0)))</f>
        <v/>
      </c>
      <c r="D145" s="278"/>
      <c r="E145" s="215" t="str">
        <f ca="1">IF(ISERROR($V145),"",OFFSET('Smelter Look-up'!$D$4,$V145-4,0)&amp;"")</f>
        <v/>
      </c>
      <c r="F145" s="215" t="str">
        <f ca="1">IF(ISERROR($V145),"",OFFSET('Smelter Look-up'!$E$4,$V145-4,0))</f>
        <v/>
      </c>
      <c r="G145" s="215" t="str">
        <f ca="1">IF(C145=$X$4,"Enter smelter details",IF(ISERROR($V145),"",OFFSET('Smelter Look-up'!$F$4,$V145-4,0)))</f>
        <v/>
      </c>
      <c r="H145" s="216" t="str">
        <f ca="1">IF(ISERROR($V145),"",OFFSET('Smelter Look-up'!$G$4,$V145-4,0))</f>
        <v/>
      </c>
      <c r="I145" s="217" t="str">
        <f ca="1">IF(ISERROR($V145),"",OFFSET('Smelter Look-up'!$H$4,$V145-4,0))</f>
        <v/>
      </c>
      <c r="J145" s="217" t="str">
        <f ca="1">IF(ISERROR($V145),"",OFFSET('Smelter Look-up'!$I$4,$V145-4,0))</f>
        <v/>
      </c>
      <c r="K145" s="268"/>
      <c r="L145" s="268"/>
      <c r="M145" s="268"/>
      <c r="N145" s="268"/>
      <c r="O145" s="268"/>
      <c r="P145" s="218"/>
      <c r="Q145" s="269"/>
      <c r="R145" s="215" t="str">
        <f ca="1">IF(ISERROR($V145),"",OFFSET('Smelter Look-up'!$C$4,$V145-4,0)&amp;"")</f>
        <v/>
      </c>
      <c r="S145" s="222" t="str">
        <f t="shared" ca="1" si="21"/>
        <v/>
      </c>
      <c r="T145" s="222" t="str">
        <f ca="1">IF(B145="","",IF(ISERROR(MATCH($J145,SorP!$B$1:$B$6230,0)),"",INDIRECT("'SorP'!$A$"&amp;MATCH($J145,SorP!$B$1:$B$6230,0))))</f>
        <v/>
      </c>
      <c r="U145" s="238"/>
      <c r="V145" s="270" t="e">
        <f>IF(C145="",NA(),MATCH($B145&amp;$C145,'Smelter Look-up'!$J:$J,0))</f>
        <v>#N/A</v>
      </c>
      <c r="W145" s="271"/>
      <c r="X145" s="271">
        <f t="shared" ca="1" si="22"/>
        <v>0</v>
      </c>
      <c r="Y145" s="271"/>
      <c r="Z145" s="271"/>
      <c r="AB145" s="273" t="str">
        <f t="shared" si="23"/>
        <v/>
      </c>
    </row>
    <row r="146" spans="1:28" s="272" customFormat="1" ht="20.399999999999999">
      <c r="A146" s="214"/>
      <c r="B146" s="215" t="str">
        <f>IF(LEN(A146)=0,"",INDEX('Smelter Look-up'!$A:$A,MATCH($A146,'Smelter Look-up'!$E:$E,0)))</f>
        <v/>
      </c>
      <c r="C146" s="219" t="str">
        <f>IF(LEN(A146)=0,"",INDEX('Smelter Look-up'!$C:$C,MATCH($A146,'Smelter Look-up'!$E:$E,0)))</f>
        <v/>
      </c>
      <c r="D146" s="278"/>
      <c r="E146" s="215" t="str">
        <f ca="1">IF(ISERROR($V146),"",OFFSET('Smelter Look-up'!$D$4,$V146-4,0)&amp;"")</f>
        <v/>
      </c>
      <c r="F146" s="215" t="str">
        <f ca="1">IF(ISERROR($V146),"",OFFSET('Smelter Look-up'!$E$4,$V146-4,0))</f>
        <v/>
      </c>
      <c r="G146" s="215" t="str">
        <f ca="1">IF(C146=$X$4,"Enter smelter details",IF(ISERROR($V146),"",OFFSET('Smelter Look-up'!$F$4,$V146-4,0)))</f>
        <v/>
      </c>
      <c r="H146" s="216" t="str">
        <f ca="1">IF(ISERROR($V146),"",OFFSET('Smelter Look-up'!$G$4,$V146-4,0))</f>
        <v/>
      </c>
      <c r="I146" s="217" t="str">
        <f ca="1">IF(ISERROR($V146),"",OFFSET('Smelter Look-up'!$H$4,$V146-4,0))</f>
        <v/>
      </c>
      <c r="J146" s="217" t="str">
        <f ca="1">IF(ISERROR($V146),"",OFFSET('Smelter Look-up'!$I$4,$V146-4,0))</f>
        <v/>
      </c>
      <c r="K146" s="268"/>
      <c r="L146" s="268"/>
      <c r="M146" s="268"/>
      <c r="N146" s="268"/>
      <c r="O146" s="268"/>
      <c r="P146" s="218"/>
      <c r="Q146" s="269"/>
      <c r="R146" s="215" t="str">
        <f ca="1">IF(ISERROR($V146),"",OFFSET('Smelter Look-up'!$C$4,$V146-4,0)&amp;"")</f>
        <v/>
      </c>
      <c r="S146" s="222" t="str">
        <f t="shared" ca="1" si="21"/>
        <v/>
      </c>
      <c r="T146" s="222" t="str">
        <f ca="1">IF(B146="","",IF(ISERROR(MATCH($J146,SorP!$B$1:$B$6230,0)),"",INDIRECT("'SorP'!$A$"&amp;MATCH($J146,SorP!$B$1:$B$6230,0))))</f>
        <v/>
      </c>
      <c r="U146" s="238"/>
      <c r="V146" s="270" t="e">
        <f>IF(C146="",NA(),MATCH($B146&amp;$C146,'Smelter Look-up'!$J:$J,0))</f>
        <v>#N/A</v>
      </c>
      <c r="W146" s="271"/>
      <c r="X146" s="271">
        <f t="shared" ca="1" si="22"/>
        <v>0</v>
      </c>
      <c r="Y146" s="271"/>
      <c r="Z146" s="271"/>
      <c r="AB146" s="273" t="str">
        <f t="shared" si="23"/>
        <v/>
      </c>
    </row>
    <row r="147" spans="1:28" s="272" customFormat="1" ht="20.399999999999999">
      <c r="A147" s="214"/>
      <c r="B147" s="215" t="str">
        <f>IF(LEN(A147)=0,"",INDEX('Smelter Look-up'!$A:$A,MATCH($A147,'Smelter Look-up'!$E:$E,0)))</f>
        <v/>
      </c>
      <c r="C147" s="219" t="str">
        <f>IF(LEN(A147)=0,"",INDEX('Smelter Look-up'!$C:$C,MATCH($A147,'Smelter Look-up'!$E:$E,0)))</f>
        <v/>
      </c>
      <c r="D147" s="278"/>
      <c r="E147" s="215" t="str">
        <f ca="1">IF(ISERROR($V147),"",OFFSET('Smelter Look-up'!$D$4,$V147-4,0)&amp;"")</f>
        <v/>
      </c>
      <c r="F147" s="215" t="str">
        <f ca="1">IF(ISERROR($V147),"",OFFSET('Smelter Look-up'!$E$4,$V147-4,0))</f>
        <v/>
      </c>
      <c r="G147" s="215" t="str">
        <f ca="1">IF(C147=$X$4,"Enter smelter details",IF(ISERROR($V147),"",OFFSET('Smelter Look-up'!$F$4,$V147-4,0)))</f>
        <v/>
      </c>
      <c r="H147" s="216" t="str">
        <f ca="1">IF(ISERROR($V147),"",OFFSET('Smelter Look-up'!$G$4,$V147-4,0))</f>
        <v/>
      </c>
      <c r="I147" s="217" t="str">
        <f ca="1">IF(ISERROR($V147),"",OFFSET('Smelter Look-up'!$H$4,$V147-4,0))</f>
        <v/>
      </c>
      <c r="J147" s="217" t="str">
        <f ca="1">IF(ISERROR($V147),"",OFFSET('Smelter Look-up'!$I$4,$V147-4,0))</f>
        <v/>
      </c>
      <c r="K147" s="268"/>
      <c r="L147" s="268"/>
      <c r="M147" s="268"/>
      <c r="N147" s="268"/>
      <c r="O147" s="268"/>
      <c r="P147" s="218"/>
      <c r="Q147" s="269"/>
      <c r="R147" s="215" t="str">
        <f ca="1">IF(ISERROR($V147),"",OFFSET('Smelter Look-up'!$C$4,$V147-4,0)&amp;"")</f>
        <v/>
      </c>
      <c r="S147" s="222" t="str">
        <f t="shared" ca="1" si="21"/>
        <v/>
      </c>
      <c r="T147" s="222" t="str">
        <f ca="1">IF(B147="","",IF(ISERROR(MATCH($J147,SorP!$B$1:$B$6230,0)),"",INDIRECT("'SorP'!$A$"&amp;MATCH($J147,SorP!$B$1:$B$6230,0))))</f>
        <v/>
      </c>
      <c r="U147" s="238"/>
      <c r="V147" s="270" t="e">
        <f>IF(C147="",NA(),MATCH($B147&amp;$C147,'Smelter Look-up'!$J:$J,0))</f>
        <v>#N/A</v>
      </c>
      <c r="W147" s="271"/>
      <c r="X147" s="271">
        <f t="shared" ca="1" si="22"/>
        <v>0</v>
      </c>
      <c r="Y147" s="271"/>
      <c r="Z147" s="271"/>
      <c r="AB147" s="273" t="str">
        <f t="shared" si="23"/>
        <v/>
      </c>
    </row>
    <row r="148" spans="1:28" s="272" customFormat="1" ht="20.399999999999999">
      <c r="A148" s="214"/>
      <c r="B148" s="215" t="str">
        <f>IF(LEN(A148)=0,"",INDEX('Smelter Look-up'!$A:$A,MATCH($A148,'Smelter Look-up'!$E:$E,0)))</f>
        <v/>
      </c>
      <c r="C148" s="219" t="str">
        <f>IF(LEN(A148)=0,"",INDEX('Smelter Look-up'!$C:$C,MATCH($A148,'Smelter Look-up'!$E:$E,0)))</f>
        <v/>
      </c>
      <c r="D148" s="278"/>
      <c r="E148" s="215" t="str">
        <f ca="1">IF(ISERROR($V148),"",OFFSET('Smelter Look-up'!$D$4,$V148-4,0)&amp;"")</f>
        <v/>
      </c>
      <c r="F148" s="215" t="str">
        <f ca="1">IF(ISERROR($V148),"",OFFSET('Smelter Look-up'!$E$4,$V148-4,0))</f>
        <v/>
      </c>
      <c r="G148" s="215" t="str">
        <f ca="1">IF(C148=$X$4,"Enter smelter details",IF(ISERROR($V148),"",OFFSET('Smelter Look-up'!$F$4,$V148-4,0)))</f>
        <v/>
      </c>
      <c r="H148" s="216" t="str">
        <f ca="1">IF(ISERROR($V148),"",OFFSET('Smelter Look-up'!$G$4,$V148-4,0))</f>
        <v/>
      </c>
      <c r="I148" s="217" t="str">
        <f ca="1">IF(ISERROR($V148),"",OFFSET('Smelter Look-up'!$H$4,$V148-4,0))</f>
        <v/>
      </c>
      <c r="J148" s="217" t="str">
        <f ca="1">IF(ISERROR($V148),"",OFFSET('Smelter Look-up'!$I$4,$V148-4,0))</f>
        <v/>
      </c>
      <c r="K148" s="268"/>
      <c r="L148" s="268"/>
      <c r="M148" s="268"/>
      <c r="N148" s="268"/>
      <c r="O148" s="268"/>
      <c r="P148" s="218"/>
      <c r="Q148" s="269"/>
      <c r="R148" s="215" t="str">
        <f ca="1">IF(ISERROR($V148),"",OFFSET('Smelter Look-up'!$C$4,$V148-4,0)&amp;"")</f>
        <v/>
      </c>
      <c r="S148" s="222" t="str">
        <f t="shared" ca="1" si="21"/>
        <v/>
      </c>
      <c r="T148" s="222" t="str">
        <f ca="1">IF(B148="","",IF(ISERROR(MATCH($J148,SorP!$B$1:$B$6230,0)),"",INDIRECT("'SorP'!$A$"&amp;MATCH($J148,SorP!$B$1:$B$6230,0))))</f>
        <v/>
      </c>
      <c r="U148" s="238"/>
      <c r="V148" s="270" t="e">
        <f>IF(C148="",NA(),MATCH($B148&amp;$C148,'Smelter Look-up'!$J:$J,0))</f>
        <v>#N/A</v>
      </c>
      <c r="W148" s="271"/>
      <c r="X148" s="271">
        <f t="shared" ca="1" si="22"/>
        <v>0</v>
      </c>
      <c r="Y148" s="271"/>
      <c r="Z148" s="271"/>
      <c r="AB148" s="273" t="str">
        <f t="shared" si="23"/>
        <v/>
      </c>
    </row>
    <row r="149" spans="1:28" s="272" customFormat="1" ht="20.399999999999999">
      <c r="A149" s="214"/>
      <c r="B149" s="215" t="str">
        <f>IF(LEN(A149)=0,"",INDEX('Smelter Look-up'!$A:$A,MATCH($A149,'Smelter Look-up'!$E:$E,0)))</f>
        <v/>
      </c>
      <c r="C149" s="219" t="str">
        <f>IF(LEN(A149)=0,"",INDEX('Smelter Look-up'!$C:$C,MATCH($A149,'Smelter Look-up'!$E:$E,0)))</f>
        <v/>
      </c>
      <c r="D149" s="278"/>
      <c r="E149" s="215" t="str">
        <f ca="1">IF(ISERROR($V149),"",OFFSET('Smelter Look-up'!$D$4,$V149-4,0)&amp;"")</f>
        <v/>
      </c>
      <c r="F149" s="215" t="str">
        <f ca="1">IF(ISERROR($V149),"",OFFSET('Smelter Look-up'!$E$4,$V149-4,0))</f>
        <v/>
      </c>
      <c r="G149" s="215" t="str">
        <f ca="1">IF(C149=$X$4,"Enter smelter details",IF(ISERROR($V149),"",OFFSET('Smelter Look-up'!$F$4,$V149-4,0)))</f>
        <v/>
      </c>
      <c r="H149" s="216" t="str">
        <f ca="1">IF(ISERROR($V149),"",OFFSET('Smelter Look-up'!$G$4,$V149-4,0))</f>
        <v/>
      </c>
      <c r="I149" s="217" t="str">
        <f ca="1">IF(ISERROR($V149),"",OFFSET('Smelter Look-up'!$H$4,$V149-4,0))</f>
        <v/>
      </c>
      <c r="J149" s="217" t="str">
        <f ca="1">IF(ISERROR($V149),"",OFFSET('Smelter Look-up'!$I$4,$V149-4,0))</f>
        <v/>
      </c>
      <c r="K149" s="268"/>
      <c r="L149" s="268"/>
      <c r="M149" s="268"/>
      <c r="N149" s="268"/>
      <c r="O149" s="268"/>
      <c r="P149" s="218"/>
      <c r="Q149" s="269"/>
      <c r="R149" s="215" t="str">
        <f ca="1">IF(ISERROR($V149),"",OFFSET('Smelter Look-up'!$C$4,$V149-4,0)&amp;"")</f>
        <v/>
      </c>
      <c r="S149" s="222" t="str">
        <f t="shared" ca="1" si="21"/>
        <v/>
      </c>
      <c r="T149" s="222" t="str">
        <f ca="1">IF(B149="","",IF(ISERROR(MATCH($J149,SorP!$B$1:$B$6230,0)),"",INDIRECT("'SorP'!$A$"&amp;MATCH($J149,SorP!$B$1:$B$6230,0))))</f>
        <v/>
      </c>
      <c r="U149" s="238"/>
      <c r="V149" s="270" t="e">
        <f>IF(C149="",NA(),MATCH($B149&amp;$C149,'Smelter Look-up'!$J:$J,0))</f>
        <v>#N/A</v>
      </c>
      <c r="W149" s="271"/>
      <c r="X149" s="271">
        <f t="shared" ca="1" si="22"/>
        <v>0</v>
      </c>
      <c r="Y149" s="271"/>
      <c r="Z149" s="271"/>
      <c r="AB149" s="273" t="str">
        <f t="shared" si="23"/>
        <v/>
      </c>
    </row>
    <row r="150" spans="1:28" s="272" customFormat="1" ht="20.399999999999999">
      <c r="A150" s="214"/>
      <c r="B150" s="215" t="str">
        <f>IF(LEN(A150)=0,"",INDEX('Smelter Look-up'!$A:$A,MATCH($A150,'Smelter Look-up'!$E:$E,0)))</f>
        <v/>
      </c>
      <c r="C150" s="219" t="str">
        <f>IF(LEN(A150)=0,"",INDEX('Smelter Look-up'!$C:$C,MATCH($A150,'Smelter Look-up'!$E:$E,0)))</f>
        <v/>
      </c>
      <c r="D150" s="278"/>
      <c r="E150" s="215" t="str">
        <f ca="1">IF(ISERROR($V150),"",OFFSET('Smelter Look-up'!$D$4,$V150-4,0)&amp;"")</f>
        <v/>
      </c>
      <c r="F150" s="215" t="str">
        <f ca="1">IF(ISERROR($V150),"",OFFSET('Smelter Look-up'!$E$4,$V150-4,0))</f>
        <v/>
      </c>
      <c r="G150" s="215" t="str">
        <f ca="1">IF(C150=$X$4,"Enter smelter details",IF(ISERROR($V150),"",OFFSET('Smelter Look-up'!$F$4,$V150-4,0)))</f>
        <v/>
      </c>
      <c r="H150" s="216" t="str">
        <f ca="1">IF(ISERROR($V150),"",OFFSET('Smelter Look-up'!$G$4,$V150-4,0))</f>
        <v/>
      </c>
      <c r="I150" s="217" t="str">
        <f ca="1">IF(ISERROR($V150),"",OFFSET('Smelter Look-up'!$H$4,$V150-4,0))</f>
        <v/>
      </c>
      <c r="J150" s="217" t="str">
        <f ca="1">IF(ISERROR($V150),"",OFFSET('Smelter Look-up'!$I$4,$V150-4,0))</f>
        <v/>
      </c>
      <c r="K150" s="268"/>
      <c r="L150" s="268"/>
      <c r="M150" s="268"/>
      <c r="N150" s="268"/>
      <c r="O150" s="268"/>
      <c r="P150" s="218"/>
      <c r="Q150" s="269"/>
      <c r="R150" s="215" t="str">
        <f ca="1">IF(ISERROR($V150),"",OFFSET('Smelter Look-up'!$C$4,$V150-4,0)&amp;"")</f>
        <v/>
      </c>
      <c r="S150" s="222" t="str">
        <f t="shared" ca="1" si="21"/>
        <v/>
      </c>
      <c r="T150" s="222" t="str">
        <f ca="1">IF(B150="","",IF(ISERROR(MATCH($J150,SorP!$B$1:$B$6230,0)),"",INDIRECT("'SorP'!$A$"&amp;MATCH($J150,SorP!$B$1:$B$6230,0))))</f>
        <v/>
      </c>
      <c r="U150" s="238"/>
      <c r="V150" s="270" t="e">
        <f>IF(C150="",NA(),MATCH($B150&amp;$C150,'Smelter Look-up'!$J:$J,0))</f>
        <v>#N/A</v>
      </c>
      <c r="W150" s="271"/>
      <c r="X150" s="271">
        <f t="shared" ca="1" si="22"/>
        <v>0</v>
      </c>
      <c r="Y150" s="271"/>
      <c r="Z150" s="271"/>
      <c r="AB150" s="273" t="str">
        <f t="shared" si="23"/>
        <v/>
      </c>
    </row>
    <row r="151" spans="1:28" s="272" customFormat="1" ht="20.399999999999999">
      <c r="A151" s="214"/>
      <c r="B151" s="215" t="str">
        <f>IF(LEN(A151)=0,"",INDEX('Smelter Look-up'!$A:$A,MATCH($A151,'Smelter Look-up'!$E:$E,0)))</f>
        <v/>
      </c>
      <c r="C151" s="219" t="str">
        <f>IF(LEN(A151)=0,"",INDEX('Smelter Look-up'!$C:$C,MATCH($A151,'Smelter Look-up'!$E:$E,0)))</f>
        <v/>
      </c>
      <c r="D151" s="278"/>
      <c r="E151" s="215" t="str">
        <f ca="1">IF(ISERROR($V151),"",OFFSET('Smelter Look-up'!$D$4,$V151-4,0)&amp;"")</f>
        <v/>
      </c>
      <c r="F151" s="215" t="str">
        <f ca="1">IF(ISERROR($V151),"",OFFSET('Smelter Look-up'!$E$4,$V151-4,0))</f>
        <v/>
      </c>
      <c r="G151" s="215" t="str">
        <f ca="1">IF(C151=$X$4,"Enter smelter details",IF(ISERROR($V151),"",OFFSET('Smelter Look-up'!$F$4,$V151-4,0)))</f>
        <v/>
      </c>
      <c r="H151" s="216" t="str">
        <f ca="1">IF(ISERROR($V151),"",OFFSET('Smelter Look-up'!$G$4,$V151-4,0))</f>
        <v/>
      </c>
      <c r="I151" s="217" t="str">
        <f ca="1">IF(ISERROR($V151),"",OFFSET('Smelter Look-up'!$H$4,$V151-4,0))</f>
        <v/>
      </c>
      <c r="J151" s="217" t="str">
        <f ca="1">IF(ISERROR($V151),"",OFFSET('Smelter Look-up'!$I$4,$V151-4,0))</f>
        <v/>
      </c>
      <c r="K151" s="268"/>
      <c r="L151" s="268"/>
      <c r="M151" s="268"/>
      <c r="N151" s="268"/>
      <c r="O151" s="268"/>
      <c r="P151" s="218"/>
      <c r="Q151" s="269"/>
      <c r="R151" s="215" t="str">
        <f ca="1">IF(ISERROR($V151),"",OFFSET('Smelter Look-up'!$C$4,$V151-4,0)&amp;"")</f>
        <v/>
      </c>
      <c r="S151" s="222" t="str">
        <f t="shared" ca="1" si="21"/>
        <v/>
      </c>
      <c r="T151" s="222" t="str">
        <f ca="1">IF(B151="","",IF(ISERROR(MATCH($J151,SorP!$B$1:$B$6230,0)),"",INDIRECT("'SorP'!$A$"&amp;MATCH($J151,SorP!$B$1:$B$6230,0))))</f>
        <v/>
      </c>
      <c r="U151" s="238"/>
      <c r="V151" s="270" t="e">
        <f>IF(C151="",NA(),MATCH($B151&amp;$C151,'Smelter Look-up'!$J:$J,0))</f>
        <v>#N/A</v>
      </c>
      <c r="W151" s="271"/>
      <c r="X151" s="271">
        <f t="shared" ca="1" si="22"/>
        <v>0</v>
      </c>
      <c r="Y151" s="271"/>
      <c r="Z151" s="271"/>
      <c r="AB151" s="273" t="str">
        <f t="shared" si="23"/>
        <v/>
      </c>
    </row>
    <row r="152" spans="1:28" s="272" customFormat="1" ht="20.399999999999999">
      <c r="A152" s="214"/>
      <c r="B152" s="215" t="str">
        <f>IF(LEN(A152)=0,"",INDEX('Smelter Look-up'!$A:$A,MATCH($A152,'Smelter Look-up'!$E:$E,0)))</f>
        <v/>
      </c>
      <c r="C152" s="219" t="str">
        <f>IF(LEN(A152)=0,"",INDEX('Smelter Look-up'!$C:$C,MATCH($A152,'Smelter Look-up'!$E:$E,0)))</f>
        <v/>
      </c>
      <c r="D152" s="278"/>
      <c r="E152" s="215" t="str">
        <f ca="1">IF(ISERROR($V152),"",OFFSET('Smelter Look-up'!$D$4,$V152-4,0)&amp;"")</f>
        <v/>
      </c>
      <c r="F152" s="215" t="str">
        <f ca="1">IF(ISERROR($V152),"",OFFSET('Smelter Look-up'!$E$4,$V152-4,0))</f>
        <v/>
      </c>
      <c r="G152" s="215" t="str">
        <f ca="1">IF(C152=$X$4,"Enter smelter details",IF(ISERROR($V152),"",OFFSET('Smelter Look-up'!$F$4,$V152-4,0)))</f>
        <v/>
      </c>
      <c r="H152" s="216" t="str">
        <f ca="1">IF(ISERROR($V152),"",OFFSET('Smelter Look-up'!$G$4,$V152-4,0))</f>
        <v/>
      </c>
      <c r="I152" s="217" t="str">
        <f ca="1">IF(ISERROR($V152),"",OFFSET('Smelter Look-up'!$H$4,$V152-4,0))</f>
        <v/>
      </c>
      <c r="J152" s="217" t="str">
        <f ca="1">IF(ISERROR($V152),"",OFFSET('Smelter Look-up'!$I$4,$V152-4,0))</f>
        <v/>
      </c>
      <c r="K152" s="268"/>
      <c r="L152" s="268"/>
      <c r="M152" s="268"/>
      <c r="N152" s="268"/>
      <c r="O152" s="268"/>
      <c r="P152" s="218"/>
      <c r="Q152" s="269"/>
      <c r="R152" s="215" t="str">
        <f ca="1">IF(ISERROR($V152),"",OFFSET('Smelter Look-up'!$C$4,$V152-4,0)&amp;"")</f>
        <v/>
      </c>
      <c r="S152" s="222" t="str">
        <f t="shared" ca="1" si="21"/>
        <v/>
      </c>
      <c r="T152" s="222" t="str">
        <f ca="1">IF(B152="","",IF(ISERROR(MATCH($J152,SorP!$B$1:$B$6230,0)),"",INDIRECT("'SorP'!$A$"&amp;MATCH($J152,SorP!$B$1:$B$6230,0))))</f>
        <v/>
      </c>
      <c r="U152" s="238"/>
      <c r="V152" s="270" t="e">
        <f>IF(C152="",NA(),MATCH($B152&amp;$C152,'Smelter Look-up'!$J:$J,0))</f>
        <v>#N/A</v>
      </c>
      <c r="W152" s="271"/>
      <c r="X152" s="271">
        <f t="shared" ca="1" si="22"/>
        <v>0</v>
      </c>
      <c r="Y152" s="271"/>
      <c r="Z152" s="271"/>
      <c r="AB152" s="273" t="str">
        <f t="shared" si="23"/>
        <v/>
      </c>
    </row>
    <row r="153" spans="1:28" s="272" customFormat="1" ht="20.399999999999999">
      <c r="A153" s="214"/>
      <c r="B153" s="215" t="str">
        <f>IF(LEN(A153)=0,"",INDEX('Smelter Look-up'!$A:$A,MATCH($A153,'Smelter Look-up'!$E:$E,0)))</f>
        <v/>
      </c>
      <c r="C153" s="219" t="str">
        <f>IF(LEN(A153)=0,"",INDEX('Smelter Look-up'!$C:$C,MATCH($A153,'Smelter Look-up'!$E:$E,0)))</f>
        <v/>
      </c>
      <c r="D153" s="278"/>
      <c r="E153" s="215" t="str">
        <f ca="1">IF(ISERROR($V153),"",OFFSET('Smelter Look-up'!$D$4,$V153-4,0)&amp;"")</f>
        <v/>
      </c>
      <c r="F153" s="215" t="str">
        <f ca="1">IF(ISERROR($V153),"",OFFSET('Smelter Look-up'!$E$4,$V153-4,0))</f>
        <v/>
      </c>
      <c r="G153" s="215" t="str">
        <f ca="1">IF(C153=$X$4,"Enter smelter details",IF(ISERROR($V153),"",OFFSET('Smelter Look-up'!$F$4,$V153-4,0)))</f>
        <v/>
      </c>
      <c r="H153" s="216" t="str">
        <f ca="1">IF(ISERROR($V153),"",OFFSET('Smelter Look-up'!$G$4,$V153-4,0))</f>
        <v/>
      </c>
      <c r="I153" s="217" t="str">
        <f ca="1">IF(ISERROR($V153),"",OFFSET('Smelter Look-up'!$H$4,$V153-4,0))</f>
        <v/>
      </c>
      <c r="J153" s="217" t="str">
        <f ca="1">IF(ISERROR($V153),"",OFFSET('Smelter Look-up'!$I$4,$V153-4,0))</f>
        <v/>
      </c>
      <c r="K153" s="268"/>
      <c r="L153" s="268"/>
      <c r="M153" s="268"/>
      <c r="N153" s="268"/>
      <c r="O153" s="268"/>
      <c r="P153" s="218"/>
      <c r="Q153" s="269"/>
      <c r="R153" s="215" t="str">
        <f ca="1">IF(ISERROR($V153),"",OFFSET('Smelter Look-up'!$C$4,$V153-4,0)&amp;"")</f>
        <v/>
      </c>
      <c r="S153" s="222" t="str">
        <f t="shared" ca="1" si="21"/>
        <v/>
      </c>
      <c r="T153" s="222" t="str">
        <f ca="1">IF(B153="","",IF(ISERROR(MATCH($J153,SorP!$B$1:$B$6230,0)),"",INDIRECT("'SorP'!$A$"&amp;MATCH($J153,SorP!$B$1:$B$6230,0))))</f>
        <v/>
      </c>
      <c r="U153" s="238"/>
      <c r="V153" s="270" t="e">
        <f>IF(C153="",NA(),MATCH($B153&amp;$C153,'Smelter Look-up'!$J:$J,0))</f>
        <v>#N/A</v>
      </c>
      <c r="W153" s="271"/>
      <c r="X153" s="271">
        <f t="shared" ca="1" si="22"/>
        <v>0</v>
      </c>
      <c r="Y153" s="271"/>
      <c r="Z153" s="271"/>
      <c r="AB153" s="273" t="str">
        <f t="shared" si="23"/>
        <v/>
      </c>
    </row>
    <row r="154" spans="1:28" s="272" customFormat="1" ht="20.399999999999999">
      <c r="A154" s="214"/>
      <c r="B154" s="215" t="str">
        <f>IF(LEN(A154)=0,"",INDEX('Smelter Look-up'!$A:$A,MATCH($A154,'Smelter Look-up'!$E:$E,0)))</f>
        <v/>
      </c>
      <c r="C154" s="219" t="str">
        <f>IF(LEN(A154)=0,"",INDEX('Smelter Look-up'!$C:$C,MATCH($A154,'Smelter Look-up'!$E:$E,0)))</f>
        <v/>
      </c>
      <c r="D154" s="278"/>
      <c r="E154" s="215" t="str">
        <f ca="1">IF(ISERROR($V154),"",OFFSET('Smelter Look-up'!$D$4,$V154-4,0)&amp;"")</f>
        <v/>
      </c>
      <c r="F154" s="215" t="str">
        <f ca="1">IF(ISERROR($V154),"",OFFSET('Smelter Look-up'!$E$4,$V154-4,0))</f>
        <v/>
      </c>
      <c r="G154" s="215" t="str">
        <f ca="1">IF(C154=$X$4,"Enter smelter details",IF(ISERROR($V154),"",OFFSET('Smelter Look-up'!$F$4,$V154-4,0)))</f>
        <v/>
      </c>
      <c r="H154" s="216" t="str">
        <f ca="1">IF(ISERROR($V154),"",OFFSET('Smelter Look-up'!$G$4,$V154-4,0))</f>
        <v/>
      </c>
      <c r="I154" s="217" t="str">
        <f ca="1">IF(ISERROR($V154),"",OFFSET('Smelter Look-up'!$H$4,$V154-4,0))</f>
        <v/>
      </c>
      <c r="J154" s="217" t="str">
        <f ca="1">IF(ISERROR($V154),"",OFFSET('Smelter Look-up'!$I$4,$V154-4,0))</f>
        <v/>
      </c>
      <c r="K154" s="268"/>
      <c r="L154" s="268"/>
      <c r="M154" s="268"/>
      <c r="N154" s="268"/>
      <c r="O154" s="268"/>
      <c r="P154" s="218"/>
      <c r="Q154" s="269"/>
      <c r="R154" s="215" t="str">
        <f ca="1">IF(ISERROR($V154),"",OFFSET('Smelter Look-up'!$C$4,$V154-4,0)&amp;"")</f>
        <v/>
      </c>
      <c r="S154" s="222" t="str">
        <f t="shared" ca="1" si="21"/>
        <v/>
      </c>
      <c r="T154" s="222" t="str">
        <f ca="1">IF(B154="","",IF(ISERROR(MATCH($J154,SorP!$B$1:$B$6230,0)),"",INDIRECT("'SorP'!$A$"&amp;MATCH($J154,SorP!$B$1:$B$6230,0))))</f>
        <v/>
      </c>
      <c r="U154" s="238"/>
      <c r="V154" s="270" t="e">
        <f>IF(C154="",NA(),MATCH($B154&amp;$C154,'Smelter Look-up'!$J:$J,0))</f>
        <v>#N/A</v>
      </c>
      <c r="W154" s="271"/>
      <c r="X154" s="271">
        <f t="shared" ca="1" si="22"/>
        <v>0</v>
      </c>
      <c r="Y154" s="271"/>
      <c r="Z154" s="271"/>
      <c r="AB154" s="273" t="str">
        <f t="shared" si="23"/>
        <v/>
      </c>
    </row>
    <row r="155" spans="1:28" s="272" customFormat="1" ht="20.399999999999999">
      <c r="A155" s="214"/>
      <c r="B155" s="215" t="str">
        <f>IF(LEN(A155)=0,"",INDEX('Smelter Look-up'!$A:$A,MATCH($A155,'Smelter Look-up'!$E:$E,0)))</f>
        <v/>
      </c>
      <c r="C155" s="219" t="str">
        <f>IF(LEN(A155)=0,"",INDEX('Smelter Look-up'!$C:$C,MATCH($A155,'Smelter Look-up'!$E:$E,0)))</f>
        <v/>
      </c>
      <c r="D155" s="278"/>
      <c r="E155" s="215" t="str">
        <f ca="1">IF(ISERROR($V155),"",OFFSET('Smelter Look-up'!$D$4,$V155-4,0)&amp;"")</f>
        <v/>
      </c>
      <c r="F155" s="215" t="str">
        <f ca="1">IF(ISERROR($V155),"",OFFSET('Smelter Look-up'!$E$4,$V155-4,0))</f>
        <v/>
      </c>
      <c r="G155" s="215" t="str">
        <f ca="1">IF(C155=$X$4,"Enter smelter details",IF(ISERROR($V155),"",OFFSET('Smelter Look-up'!$F$4,$V155-4,0)))</f>
        <v/>
      </c>
      <c r="H155" s="216" t="str">
        <f ca="1">IF(ISERROR($V155),"",OFFSET('Smelter Look-up'!$G$4,$V155-4,0))</f>
        <v/>
      </c>
      <c r="I155" s="217" t="str">
        <f ca="1">IF(ISERROR($V155),"",OFFSET('Smelter Look-up'!$H$4,$V155-4,0))</f>
        <v/>
      </c>
      <c r="J155" s="217" t="str">
        <f ca="1">IF(ISERROR($V155),"",OFFSET('Smelter Look-up'!$I$4,$V155-4,0))</f>
        <v/>
      </c>
      <c r="K155" s="268"/>
      <c r="L155" s="268"/>
      <c r="M155" s="268"/>
      <c r="N155" s="268"/>
      <c r="O155" s="268"/>
      <c r="P155" s="218"/>
      <c r="Q155" s="269"/>
      <c r="R155" s="215" t="str">
        <f ca="1">IF(ISERROR($V155),"",OFFSET('Smelter Look-up'!$C$4,$V155-4,0)&amp;"")</f>
        <v/>
      </c>
      <c r="S155" s="222" t="str">
        <f t="shared" ca="1" si="21"/>
        <v/>
      </c>
      <c r="T155" s="222" t="str">
        <f ca="1">IF(B155="","",IF(ISERROR(MATCH($J155,SorP!$B$1:$B$6230,0)),"",INDIRECT("'SorP'!$A$"&amp;MATCH($J155,SorP!$B$1:$B$6230,0))))</f>
        <v/>
      </c>
      <c r="U155" s="238"/>
      <c r="V155" s="270" t="e">
        <f>IF(C155="",NA(),MATCH($B155&amp;$C155,'Smelter Look-up'!$J:$J,0))</f>
        <v>#N/A</v>
      </c>
      <c r="W155" s="271"/>
      <c r="X155" s="271">
        <f t="shared" ca="1" si="22"/>
        <v>0</v>
      </c>
      <c r="Y155" s="271"/>
      <c r="Z155" s="271"/>
      <c r="AB155" s="273" t="str">
        <f t="shared" si="23"/>
        <v/>
      </c>
    </row>
    <row r="156" spans="1:28" s="272" customFormat="1" ht="20.399999999999999">
      <c r="A156" s="214"/>
      <c r="B156" s="215" t="str">
        <f>IF(LEN(A156)=0,"",INDEX('Smelter Look-up'!$A:$A,MATCH($A156,'Smelter Look-up'!$E:$E,0)))</f>
        <v/>
      </c>
      <c r="C156" s="219" t="str">
        <f>IF(LEN(A156)=0,"",INDEX('Smelter Look-up'!$C:$C,MATCH($A156,'Smelter Look-up'!$E:$E,0)))</f>
        <v/>
      </c>
      <c r="D156" s="278"/>
      <c r="E156" s="215" t="str">
        <f ca="1">IF(ISERROR($V156),"",OFFSET('Smelter Look-up'!$D$4,$V156-4,0)&amp;"")</f>
        <v/>
      </c>
      <c r="F156" s="215" t="str">
        <f ca="1">IF(ISERROR($V156),"",OFFSET('Smelter Look-up'!$E$4,$V156-4,0))</f>
        <v/>
      </c>
      <c r="G156" s="215" t="str">
        <f ca="1">IF(C156=$X$4,"Enter smelter details",IF(ISERROR($V156),"",OFFSET('Smelter Look-up'!$F$4,$V156-4,0)))</f>
        <v/>
      </c>
      <c r="H156" s="216" t="str">
        <f ca="1">IF(ISERROR($V156),"",OFFSET('Smelter Look-up'!$G$4,$V156-4,0))</f>
        <v/>
      </c>
      <c r="I156" s="217" t="str">
        <f ca="1">IF(ISERROR($V156),"",OFFSET('Smelter Look-up'!$H$4,$V156-4,0))</f>
        <v/>
      </c>
      <c r="J156" s="217" t="str">
        <f ca="1">IF(ISERROR($V156),"",OFFSET('Smelter Look-up'!$I$4,$V156-4,0))</f>
        <v/>
      </c>
      <c r="K156" s="268"/>
      <c r="L156" s="268"/>
      <c r="M156" s="268"/>
      <c r="N156" s="268"/>
      <c r="O156" s="268"/>
      <c r="P156" s="218"/>
      <c r="Q156" s="269"/>
      <c r="R156" s="215" t="str">
        <f ca="1">IF(ISERROR($V156),"",OFFSET('Smelter Look-up'!$C$4,$V156-4,0)&amp;"")</f>
        <v/>
      </c>
      <c r="S156" s="222" t="str">
        <f t="shared" ca="1" si="21"/>
        <v/>
      </c>
      <c r="T156" s="222" t="str">
        <f ca="1">IF(B156="","",IF(ISERROR(MATCH($J156,SorP!$B$1:$B$6230,0)),"",INDIRECT("'SorP'!$A$"&amp;MATCH($J156,SorP!$B$1:$B$6230,0))))</f>
        <v/>
      </c>
      <c r="U156" s="238"/>
      <c r="V156" s="270" t="e">
        <f>IF(C156="",NA(),MATCH($B156&amp;$C156,'Smelter Look-up'!$J:$J,0))</f>
        <v>#N/A</v>
      </c>
      <c r="W156" s="271"/>
      <c r="X156" s="271">
        <f t="shared" ca="1" si="22"/>
        <v>0</v>
      </c>
      <c r="Y156" s="271"/>
      <c r="Z156" s="271"/>
      <c r="AB156" s="273" t="str">
        <f t="shared" si="23"/>
        <v/>
      </c>
    </row>
    <row r="157" spans="1:28" s="272" customFormat="1" ht="20.399999999999999">
      <c r="A157" s="214"/>
      <c r="B157" s="215" t="str">
        <f>IF(LEN(A157)=0,"",INDEX('Smelter Look-up'!$A:$A,MATCH($A157,'Smelter Look-up'!$E:$E,0)))</f>
        <v/>
      </c>
      <c r="C157" s="219" t="str">
        <f>IF(LEN(A157)=0,"",INDEX('Smelter Look-up'!$C:$C,MATCH($A157,'Smelter Look-up'!$E:$E,0)))</f>
        <v/>
      </c>
      <c r="D157" s="278"/>
      <c r="E157" s="215" t="str">
        <f ca="1">IF(ISERROR($V157),"",OFFSET('Smelter Look-up'!$D$4,$V157-4,0)&amp;"")</f>
        <v/>
      </c>
      <c r="F157" s="215" t="str">
        <f ca="1">IF(ISERROR($V157),"",OFFSET('Smelter Look-up'!$E$4,$V157-4,0))</f>
        <v/>
      </c>
      <c r="G157" s="215" t="str">
        <f ca="1">IF(C157=$X$4,"Enter smelter details",IF(ISERROR($V157),"",OFFSET('Smelter Look-up'!$F$4,$V157-4,0)))</f>
        <v/>
      </c>
      <c r="H157" s="216" t="str">
        <f ca="1">IF(ISERROR($V157),"",OFFSET('Smelter Look-up'!$G$4,$V157-4,0))</f>
        <v/>
      </c>
      <c r="I157" s="217" t="str">
        <f ca="1">IF(ISERROR($V157),"",OFFSET('Smelter Look-up'!$H$4,$V157-4,0))</f>
        <v/>
      </c>
      <c r="J157" s="217" t="str">
        <f ca="1">IF(ISERROR($V157),"",OFFSET('Smelter Look-up'!$I$4,$V157-4,0))</f>
        <v/>
      </c>
      <c r="K157" s="268"/>
      <c r="L157" s="268"/>
      <c r="M157" s="268"/>
      <c r="N157" s="268"/>
      <c r="O157" s="268"/>
      <c r="P157" s="218"/>
      <c r="Q157" s="269"/>
      <c r="R157" s="215" t="str">
        <f ca="1">IF(ISERROR($V157),"",OFFSET('Smelter Look-up'!$C$4,$V157-4,0)&amp;"")</f>
        <v/>
      </c>
      <c r="S157" s="222" t="str">
        <f t="shared" ca="1" si="21"/>
        <v/>
      </c>
      <c r="T157" s="222" t="str">
        <f ca="1">IF(B157="","",IF(ISERROR(MATCH($J157,SorP!$B$1:$B$6230,0)),"",INDIRECT("'SorP'!$A$"&amp;MATCH($J157,SorP!$B$1:$B$6230,0))))</f>
        <v/>
      </c>
      <c r="U157" s="238"/>
      <c r="V157" s="270" t="e">
        <f>IF(C157="",NA(),MATCH($B157&amp;$C157,'Smelter Look-up'!$J:$J,0))</f>
        <v>#N/A</v>
      </c>
      <c r="W157" s="271"/>
      <c r="X157" s="271">
        <f t="shared" ca="1" si="22"/>
        <v>0</v>
      </c>
      <c r="Y157" s="271"/>
      <c r="Z157" s="271"/>
      <c r="AB157" s="273" t="str">
        <f t="shared" si="23"/>
        <v/>
      </c>
    </row>
    <row r="158" spans="1:28" s="272" customFormat="1" ht="20.399999999999999">
      <c r="A158" s="214"/>
      <c r="B158" s="215" t="str">
        <f>IF(LEN(A158)=0,"",INDEX('Smelter Look-up'!$A:$A,MATCH($A158,'Smelter Look-up'!$E:$E,0)))</f>
        <v/>
      </c>
      <c r="C158" s="219" t="str">
        <f>IF(LEN(A158)=0,"",INDEX('Smelter Look-up'!$C:$C,MATCH($A158,'Smelter Look-up'!$E:$E,0)))</f>
        <v/>
      </c>
      <c r="D158" s="278"/>
      <c r="E158" s="215" t="str">
        <f ca="1">IF(ISERROR($V158),"",OFFSET('Smelter Look-up'!$D$4,$V158-4,0)&amp;"")</f>
        <v/>
      </c>
      <c r="F158" s="215" t="str">
        <f ca="1">IF(ISERROR($V158),"",OFFSET('Smelter Look-up'!$E$4,$V158-4,0))</f>
        <v/>
      </c>
      <c r="G158" s="215" t="str">
        <f ca="1">IF(C158=$X$4,"Enter smelter details",IF(ISERROR($V158),"",OFFSET('Smelter Look-up'!$F$4,$V158-4,0)))</f>
        <v/>
      </c>
      <c r="H158" s="216" t="str">
        <f ca="1">IF(ISERROR($V158),"",OFFSET('Smelter Look-up'!$G$4,$V158-4,0))</f>
        <v/>
      </c>
      <c r="I158" s="217" t="str">
        <f ca="1">IF(ISERROR($V158),"",OFFSET('Smelter Look-up'!$H$4,$V158-4,0))</f>
        <v/>
      </c>
      <c r="J158" s="217" t="str">
        <f ca="1">IF(ISERROR($V158),"",OFFSET('Smelter Look-up'!$I$4,$V158-4,0))</f>
        <v/>
      </c>
      <c r="K158" s="268"/>
      <c r="L158" s="268"/>
      <c r="M158" s="268"/>
      <c r="N158" s="268"/>
      <c r="O158" s="268"/>
      <c r="P158" s="218"/>
      <c r="Q158" s="269"/>
      <c r="R158" s="215" t="str">
        <f ca="1">IF(ISERROR($V158),"",OFFSET('Smelter Look-up'!$C$4,$V158-4,0)&amp;"")</f>
        <v/>
      </c>
      <c r="S158" s="222" t="str">
        <f t="shared" ca="1" si="21"/>
        <v/>
      </c>
      <c r="T158" s="222" t="str">
        <f ca="1">IF(B158="","",IF(ISERROR(MATCH($J158,SorP!$B$1:$B$6230,0)),"",INDIRECT("'SorP'!$A$"&amp;MATCH($J158,SorP!$B$1:$B$6230,0))))</f>
        <v/>
      </c>
      <c r="U158" s="238"/>
      <c r="V158" s="270" t="e">
        <f>IF(C158="",NA(),MATCH($B158&amp;$C158,'Smelter Look-up'!$J:$J,0))</f>
        <v>#N/A</v>
      </c>
      <c r="W158" s="271"/>
      <c r="X158" s="271">
        <f t="shared" ca="1" si="22"/>
        <v>0</v>
      </c>
      <c r="Y158" s="271"/>
      <c r="Z158" s="271"/>
      <c r="AB158" s="273" t="str">
        <f t="shared" si="23"/>
        <v/>
      </c>
    </row>
    <row r="159" spans="1:28" s="272" customFormat="1" ht="20.399999999999999">
      <c r="A159" s="214"/>
      <c r="B159" s="215" t="str">
        <f>IF(LEN(A159)=0,"",INDEX('Smelter Look-up'!$A:$A,MATCH($A159,'Smelter Look-up'!$E:$E,0)))</f>
        <v/>
      </c>
      <c r="C159" s="219" t="str">
        <f>IF(LEN(A159)=0,"",INDEX('Smelter Look-up'!$C:$C,MATCH($A159,'Smelter Look-up'!$E:$E,0)))</f>
        <v/>
      </c>
      <c r="D159" s="278"/>
      <c r="E159" s="215" t="str">
        <f ca="1">IF(ISERROR($V159),"",OFFSET('Smelter Look-up'!$D$4,$V159-4,0)&amp;"")</f>
        <v/>
      </c>
      <c r="F159" s="215" t="str">
        <f ca="1">IF(ISERROR($V159),"",OFFSET('Smelter Look-up'!$E$4,$V159-4,0))</f>
        <v/>
      </c>
      <c r="G159" s="215" t="str">
        <f ca="1">IF(C159=$X$4,"Enter smelter details",IF(ISERROR($V159),"",OFFSET('Smelter Look-up'!$F$4,$V159-4,0)))</f>
        <v/>
      </c>
      <c r="H159" s="216" t="str">
        <f ca="1">IF(ISERROR($V159),"",OFFSET('Smelter Look-up'!$G$4,$V159-4,0))</f>
        <v/>
      </c>
      <c r="I159" s="217" t="str">
        <f ca="1">IF(ISERROR($V159),"",OFFSET('Smelter Look-up'!$H$4,$V159-4,0))</f>
        <v/>
      </c>
      <c r="J159" s="217" t="str">
        <f ca="1">IF(ISERROR($V159),"",OFFSET('Smelter Look-up'!$I$4,$V159-4,0))</f>
        <v/>
      </c>
      <c r="K159" s="268"/>
      <c r="L159" s="268"/>
      <c r="M159" s="268"/>
      <c r="N159" s="268"/>
      <c r="O159" s="268"/>
      <c r="P159" s="218"/>
      <c r="Q159" s="269"/>
      <c r="R159" s="215" t="str">
        <f ca="1">IF(ISERROR($V159),"",OFFSET('Smelter Look-up'!$C$4,$V159-4,0)&amp;"")</f>
        <v/>
      </c>
      <c r="S159" s="222" t="str">
        <f t="shared" ca="1" si="21"/>
        <v/>
      </c>
      <c r="T159" s="222" t="str">
        <f ca="1">IF(B159="","",IF(ISERROR(MATCH($J159,SorP!$B$1:$B$6230,0)),"",INDIRECT("'SorP'!$A$"&amp;MATCH($J159,SorP!$B$1:$B$6230,0))))</f>
        <v/>
      </c>
      <c r="U159" s="238"/>
      <c r="V159" s="270" t="e">
        <f>IF(C159="",NA(),MATCH($B159&amp;$C159,'Smelter Look-up'!$J:$J,0))</f>
        <v>#N/A</v>
      </c>
      <c r="W159" s="271"/>
      <c r="X159" s="271">
        <f t="shared" ca="1" si="22"/>
        <v>0</v>
      </c>
      <c r="Y159" s="271"/>
      <c r="Z159" s="271"/>
      <c r="AB159" s="273" t="str">
        <f t="shared" si="23"/>
        <v/>
      </c>
    </row>
    <row r="160" spans="1:28" s="272" customFormat="1" ht="20.399999999999999">
      <c r="A160" s="214"/>
      <c r="B160" s="215" t="str">
        <f>IF(LEN(A160)=0,"",INDEX('Smelter Look-up'!$A:$A,MATCH($A160,'Smelter Look-up'!$E:$E,0)))</f>
        <v/>
      </c>
      <c r="C160" s="219" t="str">
        <f>IF(LEN(A160)=0,"",INDEX('Smelter Look-up'!$C:$C,MATCH($A160,'Smelter Look-up'!$E:$E,0)))</f>
        <v/>
      </c>
      <c r="D160" s="278"/>
      <c r="E160" s="215" t="str">
        <f ca="1">IF(ISERROR($V160),"",OFFSET('Smelter Look-up'!$D$4,$V160-4,0)&amp;"")</f>
        <v/>
      </c>
      <c r="F160" s="215" t="str">
        <f ca="1">IF(ISERROR($V160),"",OFFSET('Smelter Look-up'!$E$4,$V160-4,0))</f>
        <v/>
      </c>
      <c r="G160" s="215" t="str">
        <f ca="1">IF(C160=$X$4,"Enter smelter details",IF(ISERROR($V160),"",OFFSET('Smelter Look-up'!$F$4,$V160-4,0)))</f>
        <v/>
      </c>
      <c r="H160" s="216" t="str">
        <f ca="1">IF(ISERROR($V160),"",OFFSET('Smelter Look-up'!$G$4,$V160-4,0))</f>
        <v/>
      </c>
      <c r="I160" s="217" t="str">
        <f ca="1">IF(ISERROR($V160),"",OFFSET('Smelter Look-up'!$H$4,$V160-4,0))</f>
        <v/>
      </c>
      <c r="J160" s="217" t="str">
        <f ca="1">IF(ISERROR($V160),"",OFFSET('Smelter Look-up'!$I$4,$V160-4,0))</f>
        <v/>
      </c>
      <c r="K160" s="268"/>
      <c r="L160" s="268"/>
      <c r="M160" s="268"/>
      <c r="N160" s="268"/>
      <c r="O160" s="268"/>
      <c r="P160" s="218"/>
      <c r="Q160" s="269"/>
      <c r="R160" s="215" t="str">
        <f ca="1">IF(ISERROR($V160),"",OFFSET('Smelter Look-up'!$C$4,$V160-4,0)&amp;"")</f>
        <v/>
      </c>
      <c r="S160" s="222" t="str">
        <f t="shared" ca="1" si="21"/>
        <v/>
      </c>
      <c r="T160" s="222" t="str">
        <f ca="1">IF(B160="","",IF(ISERROR(MATCH($J160,SorP!$B$1:$B$6230,0)),"",INDIRECT("'SorP'!$A$"&amp;MATCH($J160,SorP!$B$1:$B$6230,0))))</f>
        <v/>
      </c>
      <c r="U160" s="238"/>
      <c r="V160" s="270" t="e">
        <f>IF(C160="",NA(),MATCH($B160&amp;$C160,'Smelter Look-up'!$J:$J,0))</f>
        <v>#N/A</v>
      </c>
      <c r="W160" s="271"/>
      <c r="X160" s="271">
        <f t="shared" ca="1" si="22"/>
        <v>0</v>
      </c>
      <c r="Y160" s="271"/>
      <c r="Z160" s="271"/>
      <c r="AB160" s="273" t="str">
        <f t="shared" si="23"/>
        <v/>
      </c>
    </row>
    <row r="161" spans="1:28" s="272" customFormat="1" ht="20.399999999999999">
      <c r="A161" s="214"/>
      <c r="B161" s="215" t="str">
        <f>IF(LEN(A161)=0,"",INDEX('Smelter Look-up'!$A:$A,MATCH($A161,'Smelter Look-up'!$E:$E,0)))</f>
        <v/>
      </c>
      <c r="C161" s="219" t="str">
        <f>IF(LEN(A161)=0,"",INDEX('Smelter Look-up'!$C:$C,MATCH($A161,'Smelter Look-up'!$E:$E,0)))</f>
        <v/>
      </c>
      <c r="D161" s="278"/>
      <c r="E161" s="215" t="str">
        <f ca="1">IF(ISERROR($V161),"",OFFSET('Smelter Look-up'!$D$4,$V161-4,0)&amp;"")</f>
        <v/>
      </c>
      <c r="F161" s="215" t="str">
        <f ca="1">IF(ISERROR($V161),"",OFFSET('Smelter Look-up'!$E$4,$V161-4,0))</f>
        <v/>
      </c>
      <c r="G161" s="215" t="str">
        <f ca="1">IF(C161=$X$4,"Enter smelter details",IF(ISERROR($V161),"",OFFSET('Smelter Look-up'!$F$4,$V161-4,0)))</f>
        <v/>
      </c>
      <c r="H161" s="216" t="str">
        <f ca="1">IF(ISERROR($V161),"",OFFSET('Smelter Look-up'!$G$4,$V161-4,0))</f>
        <v/>
      </c>
      <c r="I161" s="217" t="str">
        <f ca="1">IF(ISERROR($V161),"",OFFSET('Smelter Look-up'!$H$4,$V161-4,0))</f>
        <v/>
      </c>
      <c r="J161" s="217" t="str">
        <f ca="1">IF(ISERROR($V161),"",OFFSET('Smelter Look-up'!$I$4,$V161-4,0))</f>
        <v/>
      </c>
      <c r="K161" s="268"/>
      <c r="L161" s="268"/>
      <c r="M161" s="268"/>
      <c r="N161" s="268"/>
      <c r="O161" s="268"/>
      <c r="P161" s="218"/>
      <c r="Q161" s="269"/>
      <c r="R161" s="215" t="str">
        <f ca="1">IF(ISERROR($V161),"",OFFSET('Smelter Look-up'!$C$4,$V161-4,0)&amp;"")</f>
        <v/>
      </c>
      <c r="S161" s="222" t="str">
        <f t="shared" ca="1" si="21"/>
        <v/>
      </c>
      <c r="T161" s="222" t="str">
        <f ca="1">IF(B161="","",IF(ISERROR(MATCH($J161,SorP!$B$1:$B$6230,0)),"",INDIRECT("'SorP'!$A$"&amp;MATCH($J161,SorP!$B$1:$B$6230,0))))</f>
        <v/>
      </c>
      <c r="U161" s="238"/>
      <c r="V161" s="270" t="e">
        <f>IF(C161="",NA(),MATCH($B161&amp;$C161,'Smelter Look-up'!$J:$J,0))</f>
        <v>#N/A</v>
      </c>
      <c r="W161" s="271"/>
      <c r="X161" s="271">
        <f t="shared" ca="1" si="22"/>
        <v>0</v>
      </c>
      <c r="Y161" s="271"/>
      <c r="Z161" s="271"/>
      <c r="AB161" s="273" t="str">
        <f t="shared" si="23"/>
        <v/>
      </c>
    </row>
    <row r="162" spans="1:28" s="272" customFormat="1" ht="20.399999999999999">
      <c r="A162" s="214"/>
      <c r="B162" s="215" t="str">
        <f>IF(LEN(A162)=0,"",INDEX('Smelter Look-up'!$A:$A,MATCH($A162,'Smelter Look-up'!$E:$E,0)))</f>
        <v/>
      </c>
      <c r="C162" s="219" t="str">
        <f>IF(LEN(A162)=0,"",INDEX('Smelter Look-up'!$C:$C,MATCH($A162,'Smelter Look-up'!$E:$E,0)))</f>
        <v/>
      </c>
      <c r="D162" s="278"/>
      <c r="E162" s="215" t="str">
        <f ca="1">IF(ISERROR($V162),"",OFFSET('Smelter Look-up'!$D$4,$V162-4,0)&amp;"")</f>
        <v/>
      </c>
      <c r="F162" s="215" t="str">
        <f ca="1">IF(ISERROR($V162),"",OFFSET('Smelter Look-up'!$E$4,$V162-4,0))</f>
        <v/>
      </c>
      <c r="G162" s="215" t="str">
        <f ca="1">IF(C162=$X$4,"Enter smelter details",IF(ISERROR($V162),"",OFFSET('Smelter Look-up'!$F$4,$V162-4,0)))</f>
        <v/>
      </c>
      <c r="H162" s="216" t="str">
        <f ca="1">IF(ISERROR($V162),"",OFFSET('Smelter Look-up'!$G$4,$V162-4,0))</f>
        <v/>
      </c>
      <c r="I162" s="217" t="str">
        <f ca="1">IF(ISERROR($V162),"",OFFSET('Smelter Look-up'!$H$4,$V162-4,0))</f>
        <v/>
      </c>
      <c r="J162" s="217" t="str">
        <f ca="1">IF(ISERROR($V162),"",OFFSET('Smelter Look-up'!$I$4,$V162-4,0))</f>
        <v/>
      </c>
      <c r="K162" s="268"/>
      <c r="L162" s="268"/>
      <c r="M162" s="268"/>
      <c r="N162" s="268"/>
      <c r="O162" s="268"/>
      <c r="P162" s="218"/>
      <c r="Q162" s="269"/>
      <c r="R162" s="215" t="str">
        <f ca="1">IF(ISERROR($V162),"",OFFSET('Smelter Look-up'!$C$4,$V162-4,0)&amp;"")</f>
        <v/>
      </c>
      <c r="S162" s="222" t="str">
        <f t="shared" ca="1" si="21"/>
        <v/>
      </c>
      <c r="T162" s="222" t="str">
        <f ca="1">IF(B162="","",IF(ISERROR(MATCH($J162,SorP!$B$1:$B$6230,0)),"",INDIRECT("'SorP'!$A$"&amp;MATCH($J162,SorP!$B$1:$B$6230,0))))</f>
        <v/>
      </c>
      <c r="U162" s="238"/>
      <c r="V162" s="270" t="e">
        <f>IF(C162="",NA(),MATCH($B162&amp;$C162,'Smelter Look-up'!$J:$J,0))</f>
        <v>#N/A</v>
      </c>
      <c r="W162" s="271"/>
      <c r="X162" s="271">
        <f t="shared" ca="1" si="22"/>
        <v>0</v>
      </c>
      <c r="Y162" s="271"/>
      <c r="Z162" s="271"/>
      <c r="AB162" s="273" t="str">
        <f t="shared" si="23"/>
        <v/>
      </c>
    </row>
    <row r="163" spans="1:28" s="272" customFormat="1" ht="20.399999999999999">
      <c r="A163" s="214"/>
      <c r="B163" s="215" t="str">
        <f>IF(LEN(A163)=0,"",INDEX('Smelter Look-up'!$A:$A,MATCH($A163,'Smelter Look-up'!$E:$E,0)))</f>
        <v/>
      </c>
      <c r="C163" s="219" t="str">
        <f>IF(LEN(A163)=0,"",INDEX('Smelter Look-up'!$C:$C,MATCH($A163,'Smelter Look-up'!$E:$E,0)))</f>
        <v/>
      </c>
      <c r="D163" s="278"/>
      <c r="E163" s="215" t="str">
        <f ca="1">IF(ISERROR($V163),"",OFFSET('Smelter Look-up'!$D$4,$V163-4,0)&amp;"")</f>
        <v/>
      </c>
      <c r="F163" s="215" t="str">
        <f ca="1">IF(ISERROR($V163),"",OFFSET('Smelter Look-up'!$E$4,$V163-4,0))</f>
        <v/>
      </c>
      <c r="G163" s="215" t="str">
        <f ca="1">IF(C163=$X$4,"Enter smelter details",IF(ISERROR($V163),"",OFFSET('Smelter Look-up'!$F$4,$V163-4,0)))</f>
        <v/>
      </c>
      <c r="H163" s="216" t="str">
        <f ca="1">IF(ISERROR($V163),"",OFFSET('Smelter Look-up'!$G$4,$V163-4,0))</f>
        <v/>
      </c>
      <c r="I163" s="217" t="str">
        <f ca="1">IF(ISERROR($V163),"",OFFSET('Smelter Look-up'!$H$4,$V163-4,0))</f>
        <v/>
      </c>
      <c r="J163" s="217" t="str">
        <f ca="1">IF(ISERROR($V163),"",OFFSET('Smelter Look-up'!$I$4,$V163-4,0))</f>
        <v/>
      </c>
      <c r="K163" s="268"/>
      <c r="L163" s="268"/>
      <c r="M163" s="268"/>
      <c r="N163" s="268"/>
      <c r="O163" s="268"/>
      <c r="P163" s="218"/>
      <c r="Q163" s="269"/>
      <c r="R163" s="215" t="str">
        <f ca="1">IF(ISERROR($V163),"",OFFSET('Smelter Look-up'!$C$4,$V163-4,0)&amp;"")</f>
        <v/>
      </c>
      <c r="S163" s="222" t="str">
        <f t="shared" ca="1" si="21"/>
        <v/>
      </c>
      <c r="T163" s="222" t="str">
        <f ca="1">IF(B163="","",IF(ISERROR(MATCH($J163,SorP!$B$1:$B$6230,0)),"",INDIRECT("'SorP'!$A$"&amp;MATCH($J163,SorP!$B$1:$B$6230,0))))</f>
        <v/>
      </c>
      <c r="U163" s="238"/>
      <c r="V163" s="270" t="e">
        <f>IF(C163="",NA(),MATCH($B163&amp;$C163,'Smelter Look-up'!$J:$J,0))</f>
        <v>#N/A</v>
      </c>
      <c r="W163" s="271"/>
      <c r="X163" s="271">
        <f t="shared" ca="1" si="22"/>
        <v>0</v>
      </c>
      <c r="Y163" s="271"/>
      <c r="Z163" s="271"/>
      <c r="AB163" s="273" t="str">
        <f t="shared" si="23"/>
        <v/>
      </c>
    </row>
    <row r="164" spans="1:28" s="272" customFormat="1" ht="20.399999999999999">
      <c r="A164" s="214"/>
      <c r="B164" s="215" t="str">
        <f>IF(LEN(A164)=0,"",INDEX('Smelter Look-up'!$A:$A,MATCH($A164,'Smelter Look-up'!$E:$E,0)))</f>
        <v/>
      </c>
      <c r="C164" s="219" t="str">
        <f>IF(LEN(A164)=0,"",INDEX('Smelter Look-up'!$C:$C,MATCH($A164,'Smelter Look-up'!$E:$E,0)))</f>
        <v/>
      </c>
      <c r="D164" s="278"/>
      <c r="E164" s="215" t="str">
        <f ca="1">IF(ISERROR($V164),"",OFFSET('Smelter Look-up'!$D$4,$V164-4,0)&amp;"")</f>
        <v/>
      </c>
      <c r="F164" s="215" t="str">
        <f ca="1">IF(ISERROR($V164),"",OFFSET('Smelter Look-up'!$E$4,$V164-4,0))</f>
        <v/>
      </c>
      <c r="G164" s="215" t="str">
        <f ca="1">IF(C164=$X$4,"Enter smelter details",IF(ISERROR($V164),"",OFFSET('Smelter Look-up'!$F$4,$V164-4,0)))</f>
        <v/>
      </c>
      <c r="H164" s="216" t="str">
        <f ca="1">IF(ISERROR($V164),"",OFFSET('Smelter Look-up'!$G$4,$V164-4,0))</f>
        <v/>
      </c>
      <c r="I164" s="217" t="str">
        <f ca="1">IF(ISERROR($V164),"",OFFSET('Smelter Look-up'!$H$4,$V164-4,0))</f>
        <v/>
      </c>
      <c r="J164" s="217" t="str">
        <f ca="1">IF(ISERROR($V164),"",OFFSET('Smelter Look-up'!$I$4,$V164-4,0))</f>
        <v/>
      </c>
      <c r="K164" s="268"/>
      <c r="L164" s="268"/>
      <c r="M164" s="268"/>
      <c r="N164" s="268"/>
      <c r="O164" s="268"/>
      <c r="P164" s="218"/>
      <c r="Q164" s="269"/>
      <c r="R164" s="215" t="str">
        <f ca="1">IF(ISERROR($V164),"",OFFSET('Smelter Look-up'!$C$4,$V164-4,0)&amp;"")</f>
        <v/>
      </c>
      <c r="S164" s="222" t="str">
        <f t="shared" ca="1" si="21"/>
        <v/>
      </c>
      <c r="T164" s="222" t="str">
        <f ca="1">IF(B164="","",IF(ISERROR(MATCH($J164,SorP!$B$1:$B$6230,0)),"",INDIRECT("'SorP'!$A$"&amp;MATCH($J164,SorP!$B$1:$B$6230,0))))</f>
        <v/>
      </c>
      <c r="U164" s="238"/>
      <c r="V164" s="270" t="e">
        <f>IF(C164="",NA(),MATCH($B164&amp;$C164,'Smelter Look-up'!$J:$J,0))</f>
        <v>#N/A</v>
      </c>
      <c r="W164" s="271"/>
      <c r="X164" s="271">
        <f t="shared" ca="1" si="22"/>
        <v>0</v>
      </c>
      <c r="Y164" s="271"/>
      <c r="Z164" s="271"/>
      <c r="AB164" s="273" t="str">
        <f t="shared" si="23"/>
        <v/>
      </c>
    </row>
    <row r="165" spans="1:28" s="272" customFormat="1" ht="20.399999999999999">
      <c r="A165" s="214"/>
      <c r="B165" s="215" t="str">
        <f>IF(LEN(A165)=0,"",INDEX('Smelter Look-up'!$A:$A,MATCH($A165,'Smelter Look-up'!$E:$E,0)))</f>
        <v/>
      </c>
      <c r="C165" s="219" t="str">
        <f>IF(LEN(A165)=0,"",INDEX('Smelter Look-up'!$C:$C,MATCH($A165,'Smelter Look-up'!$E:$E,0)))</f>
        <v/>
      </c>
      <c r="D165" s="278"/>
      <c r="E165" s="215" t="str">
        <f ca="1">IF(ISERROR($V165),"",OFFSET('Smelter Look-up'!$D$4,$V165-4,0)&amp;"")</f>
        <v/>
      </c>
      <c r="F165" s="215" t="str">
        <f ca="1">IF(ISERROR($V165),"",OFFSET('Smelter Look-up'!$E$4,$V165-4,0))</f>
        <v/>
      </c>
      <c r="G165" s="215" t="str">
        <f ca="1">IF(C165=$X$4,"Enter smelter details",IF(ISERROR($V165),"",OFFSET('Smelter Look-up'!$F$4,$V165-4,0)))</f>
        <v/>
      </c>
      <c r="H165" s="216" t="str">
        <f ca="1">IF(ISERROR($V165),"",OFFSET('Smelter Look-up'!$G$4,$V165-4,0))</f>
        <v/>
      </c>
      <c r="I165" s="217" t="str">
        <f ca="1">IF(ISERROR($V165),"",OFFSET('Smelter Look-up'!$H$4,$V165-4,0))</f>
        <v/>
      </c>
      <c r="J165" s="217" t="str">
        <f ca="1">IF(ISERROR($V165),"",OFFSET('Smelter Look-up'!$I$4,$V165-4,0))</f>
        <v/>
      </c>
      <c r="K165" s="268"/>
      <c r="L165" s="268"/>
      <c r="M165" s="268"/>
      <c r="N165" s="268"/>
      <c r="O165" s="268"/>
      <c r="P165" s="218"/>
      <c r="Q165" s="269"/>
      <c r="R165" s="215" t="str">
        <f ca="1">IF(ISERROR($V165),"",OFFSET('Smelter Look-up'!$C$4,$V165-4,0)&amp;"")</f>
        <v/>
      </c>
      <c r="S165" s="222" t="str">
        <f t="shared" ca="1" si="21"/>
        <v/>
      </c>
      <c r="T165" s="222" t="str">
        <f ca="1">IF(B165="","",IF(ISERROR(MATCH($J165,SorP!$B$1:$B$6230,0)),"",INDIRECT("'SorP'!$A$"&amp;MATCH($J165,SorP!$B$1:$B$6230,0))))</f>
        <v/>
      </c>
      <c r="U165" s="238"/>
      <c r="V165" s="270" t="e">
        <f>IF(C165="",NA(),MATCH($B165&amp;$C165,'Smelter Look-up'!$J:$J,0))</f>
        <v>#N/A</v>
      </c>
      <c r="W165" s="271"/>
      <c r="X165" s="271">
        <f t="shared" ca="1" si="22"/>
        <v>0</v>
      </c>
      <c r="Y165" s="271"/>
      <c r="Z165" s="271"/>
      <c r="AB165" s="273" t="str">
        <f t="shared" si="23"/>
        <v/>
      </c>
    </row>
    <row r="166" spans="1:28" s="272" customFormat="1" ht="20.399999999999999">
      <c r="A166" s="214"/>
      <c r="B166" s="215" t="str">
        <f>IF(LEN(A166)=0,"",INDEX('Smelter Look-up'!$A:$A,MATCH($A166,'Smelter Look-up'!$E:$E,0)))</f>
        <v/>
      </c>
      <c r="C166" s="219" t="str">
        <f>IF(LEN(A166)=0,"",INDEX('Smelter Look-up'!$C:$C,MATCH($A166,'Smelter Look-up'!$E:$E,0)))</f>
        <v/>
      </c>
      <c r="D166" s="278"/>
      <c r="E166" s="215" t="str">
        <f ca="1">IF(ISERROR($V166),"",OFFSET('Smelter Look-up'!$D$4,$V166-4,0)&amp;"")</f>
        <v/>
      </c>
      <c r="F166" s="215" t="str">
        <f ca="1">IF(ISERROR($V166),"",OFFSET('Smelter Look-up'!$E$4,$V166-4,0))</f>
        <v/>
      </c>
      <c r="G166" s="215" t="str">
        <f ca="1">IF(C166=$X$4,"Enter smelter details",IF(ISERROR($V166),"",OFFSET('Smelter Look-up'!$F$4,$V166-4,0)))</f>
        <v/>
      </c>
      <c r="H166" s="216" t="str">
        <f ca="1">IF(ISERROR($V166),"",OFFSET('Smelter Look-up'!$G$4,$V166-4,0))</f>
        <v/>
      </c>
      <c r="I166" s="217" t="str">
        <f ca="1">IF(ISERROR($V166),"",OFFSET('Smelter Look-up'!$H$4,$V166-4,0))</f>
        <v/>
      </c>
      <c r="J166" s="217" t="str">
        <f ca="1">IF(ISERROR($V166),"",OFFSET('Smelter Look-up'!$I$4,$V166-4,0))</f>
        <v/>
      </c>
      <c r="K166" s="268"/>
      <c r="L166" s="268"/>
      <c r="M166" s="268"/>
      <c r="N166" s="268"/>
      <c r="O166" s="268"/>
      <c r="P166" s="218"/>
      <c r="Q166" s="269"/>
      <c r="R166" s="215" t="str">
        <f ca="1">IF(ISERROR($V166),"",OFFSET('Smelter Look-up'!$C$4,$V166-4,0)&amp;"")</f>
        <v/>
      </c>
      <c r="S166" s="222" t="str">
        <f t="shared" ref="S166:S196" ca="1" si="24">IF(B166="","",IF(ISERROR(MATCH($E166,CL,0)),"Unknown",INDIRECT("'C'!$A$"&amp;MATCH($E166,CL,0)+1)))</f>
        <v/>
      </c>
      <c r="T166" s="222" t="str">
        <f ca="1">IF(B166="","",IF(ISERROR(MATCH($J166,SorP!$B$1:$B$6230,0)),"",INDIRECT("'SorP'!$A$"&amp;MATCH($J166,SorP!$B$1:$B$6230,0))))</f>
        <v/>
      </c>
      <c r="U166" s="238"/>
      <c r="V166" s="270" t="e">
        <f>IF(C166="",NA(),MATCH($B166&amp;$C166,'Smelter Look-up'!$J:$J,0))</f>
        <v>#N/A</v>
      </c>
      <c r="W166" s="271"/>
      <c r="X166" s="271">
        <f t="shared" ref="X166:X196" ca="1" si="25">IF(AND(C166="Smelter not listed",OR(LEN(D166)=0,LEN(E166)=0)),1,0)</f>
        <v>0</v>
      </c>
      <c r="Y166" s="271"/>
      <c r="Z166" s="271"/>
      <c r="AB166" s="273" t="str">
        <f t="shared" ref="AB166:AB196" si="26">B166&amp;C166</f>
        <v/>
      </c>
    </row>
    <row r="167" spans="1:28" s="272" customFormat="1" ht="20.399999999999999">
      <c r="A167" s="214"/>
      <c r="B167" s="215" t="str">
        <f>IF(LEN(A167)=0,"",INDEX('Smelter Look-up'!$A:$A,MATCH($A167,'Smelter Look-up'!$E:$E,0)))</f>
        <v/>
      </c>
      <c r="C167" s="219" t="str">
        <f>IF(LEN(A167)=0,"",INDEX('Smelter Look-up'!$C:$C,MATCH($A167,'Smelter Look-up'!$E:$E,0)))</f>
        <v/>
      </c>
      <c r="D167" s="278"/>
      <c r="E167" s="215" t="str">
        <f ca="1">IF(ISERROR($V167),"",OFFSET('Smelter Look-up'!$D$4,$V167-4,0)&amp;"")</f>
        <v/>
      </c>
      <c r="F167" s="215" t="str">
        <f ca="1">IF(ISERROR($V167),"",OFFSET('Smelter Look-up'!$E$4,$V167-4,0))</f>
        <v/>
      </c>
      <c r="G167" s="215" t="str">
        <f ca="1">IF(C167=$X$4,"Enter smelter details",IF(ISERROR($V167),"",OFFSET('Smelter Look-up'!$F$4,$V167-4,0)))</f>
        <v/>
      </c>
      <c r="H167" s="216" t="str">
        <f ca="1">IF(ISERROR($V167),"",OFFSET('Smelter Look-up'!$G$4,$V167-4,0))</f>
        <v/>
      </c>
      <c r="I167" s="217" t="str">
        <f ca="1">IF(ISERROR($V167),"",OFFSET('Smelter Look-up'!$H$4,$V167-4,0))</f>
        <v/>
      </c>
      <c r="J167" s="217" t="str">
        <f ca="1">IF(ISERROR($V167),"",OFFSET('Smelter Look-up'!$I$4,$V167-4,0))</f>
        <v/>
      </c>
      <c r="K167" s="268"/>
      <c r="L167" s="268"/>
      <c r="M167" s="268"/>
      <c r="N167" s="268"/>
      <c r="O167" s="268"/>
      <c r="P167" s="218"/>
      <c r="Q167" s="269"/>
      <c r="R167" s="215" t="str">
        <f ca="1">IF(ISERROR($V167),"",OFFSET('Smelter Look-up'!$C$4,$V167-4,0)&amp;"")</f>
        <v/>
      </c>
      <c r="S167" s="222" t="str">
        <f t="shared" ca="1" si="24"/>
        <v/>
      </c>
      <c r="T167" s="222" t="str">
        <f ca="1">IF(B167="","",IF(ISERROR(MATCH($J167,SorP!$B$1:$B$6230,0)),"",INDIRECT("'SorP'!$A$"&amp;MATCH($J167,SorP!$B$1:$B$6230,0))))</f>
        <v/>
      </c>
      <c r="U167" s="238"/>
      <c r="V167" s="270" t="e">
        <f>IF(C167="",NA(),MATCH($B167&amp;$C167,'Smelter Look-up'!$J:$J,0))</f>
        <v>#N/A</v>
      </c>
      <c r="W167" s="271"/>
      <c r="X167" s="271">
        <f t="shared" ca="1" si="25"/>
        <v>0</v>
      </c>
      <c r="Y167" s="271"/>
      <c r="Z167" s="271"/>
      <c r="AB167" s="273" t="str">
        <f t="shared" si="26"/>
        <v/>
      </c>
    </row>
    <row r="168" spans="1:28" s="272" customFormat="1" ht="20.399999999999999">
      <c r="A168" s="214"/>
      <c r="B168" s="215" t="str">
        <f>IF(LEN(A168)=0,"",INDEX('Smelter Look-up'!$A:$A,MATCH($A168,'Smelter Look-up'!$E:$E,0)))</f>
        <v/>
      </c>
      <c r="C168" s="219" t="str">
        <f>IF(LEN(A168)=0,"",INDEX('Smelter Look-up'!$C:$C,MATCH($A168,'Smelter Look-up'!$E:$E,0)))</f>
        <v/>
      </c>
      <c r="D168" s="278"/>
      <c r="E168" s="215" t="str">
        <f ca="1">IF(ISERROR($V168),"",OFFSET('Smelter Look-up'!$D$4,$V168-4,0)&amp;"")</f>
        <v/>
      </c>
      <c r="F168" s="215" t="str">
        <f ca="1">IF(ISERROR($V168),"",OFFSET('Smelter Look-up'!$E$4,$V168-4,0))</f>
        <v/>
      </c>
      <c r="G168" s="215" t="str">
        <f ca="1">IF(C168=$X$4,"Enter smelter details",IF(ISERROR($V168),"",OFFSET('Smelter Look-up'!$F$4,$V168-4,0)))</f>
        <v/>
      </c>
      <c r="H168" s="216" t="str">
        <f ca="1">IF(ISERROR($V168),"",OFFSET('Smelter Look-up'!$G$4,$V168-4,0))</f>
        <v/>
      </c>
      <c r="I168" s="217" t="str">
        <f ca="1">IF(ISERROR($V168),"",OFFSET('Smelter Look-up'!$H$4,$V168-4,0))</f>
        <v/>
      </c>
      <c r="J168" s="217" t="str">
        <f ca="1">IF(ISERROR($V168),"",OFFSET('Smelter Look-up'!$I$4,$V168-4,0))</f>
        <v/>
      </c>
      <c r="K168" s="268"/>
      <c r="L168" s="268"/>
      <c r="M168" s="268"/>
      <c r="N168" s="268"/>
      <c r="O168" s="268"/>
      <c r="P168" s="218"/>
      <c r="Q168" s="269"/>
      <c r="R168" s="215" t="str">
        <f ca="1">IF(ISERROR($V168),"",OFFSET('Smelter Look-up'!$C$4,$V168-4,0)&amp;"")</f>
        <v/>
      </c>
      <c r="S168" s="222" t="str">
        <f t="shared" ca="1" si="24"/>
        <v/>
      </c>
      <c r="T168" s="222" t="str">
        <f ca="1">IF(B168="","",IF(ISERROR(MATCH($J168,SorP!$B$1:$B$6230,0)),"",INDIRECT("'SorP'!$A$"&amp;MATCH($J168,SorP!$B$1:$B$6230,0))))</f>
        <v/>
      </c>
      <c r="U168" s="238"/>
      <c r="V168" s="270" t="e">
        <f>IF(C168="",NA(),MATCH($B168&amp;$C168,'Smelter Look-up'!$J:$J,0))</f>
        <v>#N/A</v>
      </c>
      <c r="W168" s="271"/>
      <c r="X168" s="271">
        <f t="shared" ca="1" si="25"/>
        <v>0</v>
      </c>
      <c r="Y168" s="271"/>
      <c r="Z168" s="271"/>
      <c r="AB168" s="273" t="str">
        <f t="shared" si="26"/>
        <v/>
      </c>
    </row>
    <row r="169" spans="1:28" s="272" customFormat="1" ht="20.399999999999999">
      <c r="A169" s="214"/>
      <c r="B169" s="215" t="str">
        <f>IF(LEN(A169)=0,"",INDEX('Smelter Look-up'!$A:$A,MATCH($A169,'Smelter Look-up'!$E:$E,0)))</f>
        <v/>
      </c>
      <c r="C169" s="219" t="str">
        <f>IF(LEN(A169)=0,"",INDEX('Smelter Look-up'!$C:$C,MATCH($A169,'Smelter Look-up'!$E:$E,0)))</f>
        <v/>
      </c>
      <c r="D169" s="278"/>
      <c r="E169" s="215" t="str">
        <f ca="1">IF(ISERROR($V169),"",OFFSET('Smelter Look-up'!$D$4,$V169-4,0)&amp;"")</f>
        <v/>
      </c>
      <c r="F169" s="215" t="str">
        <f ca="1">IF(ISERROR($V169),"",OFFSET('Smelter Look-up'!$E$4,$V169-4,0))</f>
        <v/>
      </c>
      <c r="G169" s="215" t="str">
        <f ca="1">IF(C169=$X$4,"Enter smelter details",IF(ISERROR($V169),"",OFFSET('Smelter Look-up'!$F$4,$V169-4,0)))</f>
        <v/>
      </c>
      <c r="H169" s="216" t="str">
        <f ca="1">IF(ISERROR($V169),"",OFFSET('Smelter Look-up'!$G$4,$V169-4,0))</f>
        <v/>
      </c>
      <c r="I169" s="217" t="str">
        <f ca="1">IF(ISERROR($V169),"",OFFSET('Smelter Look-up'!$H$4,$V169-4,0))</f>
        <v/>
      </c>
      <c r="J169" s="217" t="str">
        <f ca="1">IF(ISERROR($V169),"",OFFSET('Smelter Look-up'!$I$4,$V169-4,0))</f>
        <v/>
      </c>
      <c r="K169" s="268"/>
      <c r="L169" s="268"/>
      <c r="M169" s="268"/>
      <c r="N169" s="268"/>
      <c r="O169" s="268"/>
      <c r="P169" s="218"/>
      <c r="Q169" s="269"/>
      <c r="R169" s="215" t="str">
        <f ca="1">IF(ISERROR($V169),"",OFFSET('Smelter Look-up'!$C$4,$V169-4,0)&amp;"")</f>
        <v/>
      </c>
      <c r="S169" s="222" t="str">
        <f t="shared" ca="1" si="24"/>
        <v/>
      </c>
      <c r="T169" s="222" t="str">
        <f ca="1">IF(B169="","",IF(ISERROR(MATCH($J169,SorP!$B$1:$B$6230,0)),"",INDIRECT("'SorP'!$A$"&amp;MATCH($J169,SorP!$B$1:$B$6230,0))))</f>
        <v/>
      </c>
      <c r="U169" s="238"/>
      <c r="V169" s="270" t="e">
        <f>IF(C169="",NA(),MATCH($B169&amp;$C169,'Smelter Look-up'!$J:$J,0))</f>
        <v>#N/A</v>
      </c>
      <c r="W169" s="271"/>
      <c r="X169" s="271">
        <f t="shared" ca="1" si="25"/>
        <v>0</v>
      </c>
      <c r="Y169" s="271"/>
      <c r="Z169" s="271"/>
      <c r="AB169" s="273" t="str">
        <f t="shared" si="26"/>
        <v/>
      </c>
    </row>
    <row r="170" spans="1:28" s="272" customFormat="1" ht="20.399999999999999">
      <c r="A170" s="214"/>
      <c r="B170" s="215" t="str">
        <f>IF(LEN(A170)=0,"",INDEX('Smelter Look-up'!$A:$A,MATCH($A170,'Smelter Look-up'!$E:$E,0)))</f>
        <v/>
      </c>
      <c r="C170" s="219" t="str">
        <f>IF(LEN(A170)=0,"",INDEX('Smelter Look-up'!$C:$C,MATCH($A170,'Smelter Look-up'!$E:$E,0)))</f>
        <v/>
      </c>
      <c r="D170" s="278"/>
      <c r="E170" s="215" t="str">
        <f ca="1">IF(ISERROR($V170),"",OFFSET('Smelter Look-up'!$D$4,$V170-4,0)&amp;"")</f>
        <v/>
      </c>
      <c r="F170" s="215" t="str">
        <f ca="1">IF(ISERROR($V170),"",OFFSET('Smelter Look-up'!$E$4,$V170-4,0))</f>
        <v/>
      </c>
      <c r="G170" s="215" t="str">
        <f ca="1">IF(C170=$X$4,"Enter smelter details",IF(ISERROR($V170),"",OFFSET('Smelter Look-up'!$F$4,$V170-4,0)))</f>
        <v/>
      </c>
      <c r="H170" s="216" t="str">
        <f ca="1">IF(ISERROR($V170),"",OFFSET('Smelter Look-up'!$G$4,$V170-4,0))</f>
        <v/>
      </c>
      <c r="I170" s="217" t="str">
        <f ca="1">IF(ISERROR($V170),"",OFFSET('Smelter Look-up'!$H$4,$V170-4,0))</f>
        <v/>
      </c>
      <c r="J170" s="217" t="str">
        <f ca="1">IF(ISERROR($V170),"",OFFSET('Smelter Look-up'!$I$4,$V170-4,0))</f>
        <v/>
      </c>
      <c r="K170" s="268"/>
      <c r="L170" s="268"/>
      <c r="M170" s="268"/>
      <c r="N170" s="268"/>
      <c r="O170" s="268"/>
      <c r="P170" s="218"/>
      <c r="Q170" s="269"/>
      <c r="R170" s="215" t="str">
        <f ca="1">IF(ISERROR($V170),"",OFFSET('Smelter Look-up'!$C$4,$V170-4,0)&amp;"")</f>
        <v/>
      </c>
      <c r="S170" s="222" t="str">
        <f t="shared" ca="1" si="24"/>
        <v/>
      </c>
      <c r="T170" s="222" t="str">
        <f ca="1">IF(B170="","",IF(ISERROR(MATCH($J170,SorP!$B$1:$B$6230,0)),"",INDIRECT("'SorP'!$A$"&amp;MATCH($J170,SorP!$B$1:$B$6230,0))))</f>
        <v/>
      </c>
      <c r="U170" s="238"/>
      <c r="V170" s="270" t="e">
        <f>IF(C170="",NA(),MATCH($B170&amp;$C170,'Smelter Look-up'!$J:$J,0))</f>
        <v>#N/A</v>
      </c>
      <c r="W170" s="271"/>
      <c r="X170" s="271">
        <f t="shared" ca="1" si="25"/>
        <v>0</v>
      </c>
      <c r="Y170" s="271"/>
      <c r="Z170" s="271"/>
      <c r="AB170" s="273" t="str">
        <f t="shared" si="26"/>
        <v/>
      </c>
    </row>
    <row r="171" spans="1:28" s="272" customFormat="1" ht="20.399999999999999">
      <c r="A171" s="214"/>
      <c r="B171" s="215" t="str">
        <f>IF(LEN(A171)=0,"",INDEX('Smelter Look-up'!$A:$A,MATCH($A171,'Smelter Look-up'!$E:$E,0)))</f>
        <v/>
      </c>
      <c r="C171" s="219" t="str">
        <f>IF(LEN(A171)=0,"",INDEX('Smelter Look-up'!$C:$C,MATCH($A171,'Smelter Look-up'!$E:$E,0)))</f>
        <v/>
      </c>
      <c r="D171" s="278"/>
      <c r="E171" s="215" t="str">
        <f ca="1">IF(ISERROR($V171),"",OFFSET('Smelter Look-up'!$D$4,$V171-4,0)&amp;"")</f>
        <v/>
      </c>
      <c r="F171" s="215" t="str">
        <f ca="1">IF(ISERROR($V171),"",OFFSET('Smelter Look-up'!$E$4,$V171-4,0))</f>
        <v/>
      </c>
      <c r="G171" s="215" t="str">
        <f ca="1">IF(C171=$X$4,"Enter smelter details",IF(ISERROR($V171),"",OFFSET('Smelter Look-up'!$F$4,$V171-4,0)))</f>
        <v/>
      </c>
      <c r="H171" s="216" t="str">
        <f ca="1">IF(ISERROR($V171),"",OFFSET('Smelter Look-up'!$G$4,$V171-4,0))</f>
        <v/>
      </c>
      <c r="I171" s="217" t="str">
        <f ca="1">IF(ISERROR($V171),"",OFFSET('Smelter Look-up'!$H$4,$V171-4,0))</f>
        <v/>
      </c>
      <c r="J171" s="217" t="str">
        <f ca="1">IF(ISERROR($V171),"",OFFSET('Smelter Look-up'!$I$4,$V171-4,0))</f>
        <v/>
      </c>
      <c r="K171" s="268"/>
      <c r="L171" s="268"/>
      <c r="M171" s="268"/>
      <c r="N171" s="268"/>
      <c r="O171" s="268"/>
      <c r="P171" s="218"/>
      <c r="Q171" s="269"/>
      <c r="R171" s="215" t="str">
        <f ca="1">IF(ISERROR($V171),"",OFFSET('Smelter Look-up'!$C$4,$V171-4,0)&amp;"")</f>
        <v/>
      </c>
      <c r="S171" s="222" t="str">
        <f t="shared" ca="1" si="24"/>
        <v/>
      </c>
      <c r="T171" s="222" t="str">
        <f ca="1">IF(B171="","",IF(ISERROR(MATCH($J171,SorP!$B$1:$B$6230,0)),"",INDIRECT("'SorP'!$A$"&amp;MATCH($J171,SorP!$B$1:$B$6230,0))))</f>
        <v/>
      </c>
      <c r="U171" s="238"/>
      <c r="V171" s="270" t="e">
        <f>IF(C171="",NA(),MATCH($B171&amp;$C171,'Smelter Look-up'!$J:$J,0))</f>
        <v>#N/A</v>
      </c>
      <c r="W171" s="271"/>
      <c r="X171" s="271">
        <f t="shared" ca="1" si="25"/>
        <v>0</v>
      </c>
      <c r="Y171" s="271"/>
      <c r="Z171" s="271"/>
      <c r="AB171" s="273" t="str">
        <f t="shared" si="26"/>
        <v/>
      </c>
    </row>
    <row r="172" spans="1:28" s="272" customFormat="1" ht="20.399999999999999">
      <c r="A172" s="214"/>
      <c r="B172" s="215" t="str">
        <f>IF(LEN(A172)=0,"",INDEX('Smelter Look-up'!$A:$A,MATCH($A172,'Smelter Look-up'!$E:$E,0)))</f>
        <v/>
      </c>
      <c r="C172" s="219" t="str">
        <f>IF(LEN(A172)=0,"",INDEX('Smelter Look-up'!$C:$C,MATCH($A172,'Smelter Look-up'!$E:$E,0)))</f>
        <v/>
      </c>
      <c r="D172" s="278"/>
      <c r="E172" s="215" t="str">
        <f ca="1">IF(ISERROR($V172),"",OFFSET('Smelter Look-up'!$D$4,$V172-4,0)&amp;"")</f>
        <v/>
      </c>
      <c r="F172" s="215" t="str">
        <f ca="1">IF(ISERROR($V172),"",OFFSET('Smelter Look-up'!$E$4,$V172-4,0))</f>
        <v/>
      </c>
      <c r="G172" s="215" t="str">
        <f ca="1">IF(C172=$X$4,"Enter smelter details",IF(ISERROR($V172),"",OFFSET('Smelter Look-up'!$F$4,$V172-4,0)))</f>
        <v/>
      </c>
      <c r="H172" s="216" t="str">
        <f ca="1">IF(ISERROR($V172),"",OFFSET('Smelter Look-up'!$G$4,$V172-4,0))</f>
        <v/>
      </c>
      <c r="I172" s="217" t="str">
        <f ca="1">IF(ISERROR($V172),"",OFFSET('Smelter Look-up'!$H$4,$V172-4,0))</f>
        <v/>
      </c>
      <c r="J172" s="217" t="str">
        <f ca="1">IF(ISERROR($V172),"",OFFSET('Smelter Look-up'!$I$4,$V172-4,0))</f>
        <v/>
      </c>
      <c r="K172" s="268"/>
      <c r="L172" s="268"/>
      <c r="M172" s="268"/>
      <c r="N172" s="268"/>
      <c r="O172" s="268"/>
      <c r="P172" s="218"/>
      <c r="Q172" s="269"/>
      <c r="R172" s="215" t="str">
        <f ca="1">IF(ISERROR($V172),"",OFFSET('Smelter Look-up'!$C$4,$V172-4,0)&amp;"")</f>
        <v/>
      </c>
      <c r="S172" s="222" t="str">
        <f t="shared" ca="1" si="24"/>
        <v/>
      </c>
      <c r="T172" s="222" t="str">
        <f ca="1">IF(B172="","",IF(ISERROR(MATCH($J172,SorP!$B$1:$B$6230,0)),"",INDIRECT("'SorP'!$A$"&amp;MATCH($J172,SorP!$B$1:$B$6230,0))))</f>
        <v/>
      </c>
      <c r="U172" s="238"/>
      <c r="V172" s="270" t="e">
        <f>IF(C172="",NA(),MATCH($B172&amp;$C172,'Smelter Look-up'!$J:$J,0))</f>
        <v>#N/A</v>
      </c>
      <c r="W172" s="271"/>
      <c r="X172" s="271">
        <f t="shared" ca="1" si="25"/>
        <v>0</v>
      </c>
      <c r="Y172" s="271"/>
      <c r="Z172" s="271"/>
      <c r="AB172" s="273" t="str">
        <f t="shared" si="26"/>
        <v/>
      </c>
    </row>
    <row r="173" spans="1:28" s="272" customFormat="1" ht="20.399999999999999">
      <c r="A173" s="214"/>
      <c r="B173" s="215" t="str">
        <f>IF(LEN(A173)=0,"",INDEX('Smelter Look-up'!$A:$A,MATCH($A173,'Smelter Look-up'!$E:$E,0)))</f>
        <v/>
      </c>
      <c r="C173" s="219" t="str">
        <f>IF(LEN(A173)=0,"",INDEX('Smelter Look-up'!$C:$C,MATCH($A173,'Smelter Look-up'!$E:$E,0)))</f>
        <v/>
      </c>
      <c r="D173" s="278"/>
      <c r="E173" s="215" t="str">
        <f ca="1">IF(ISERROR($V173),"",OFFSET('Smelter Look-up'!$D$4,$V173-4,0)&amp;"")</f>
        <v/>
      </c>
      <c r="F173" s="215" t="str">
        <f ca="1">IF(ISERROR($V173),"",OFFSET('Smelter Look-up'!$E$4,$V173-4,0))</f>
        <v/>
      </c>
      <c r="G173" s="215" t="str">
        <f ca="1">IF(C173=$X$4,"Enter smelter details",IF(ISERROR($V173),"",OFFSET('Smelter Look-up'!$F$4,$V173-4,0)))</f>
        <v/>
      </c>
      <c r="H173" s="216" t="str">
        <f ca="1">IF(ISERROR($V173),"",OFFSET('Smelter Look-up'!$G$4,$V173-4,0))</f>
        <v/>
      </c>
      <c r="I173" s="217" t="str">
        <f ca="1">IF(ISERROR($V173),"",OFFSET('Smelter Look-up'!$H$4,$V173-4,0))</f>
        <v/>
      </c>
      <c r="J173" s="217" t="str">
        <f ca="1">IF(ISERROR($V173),"",OFFSET('Smelter Look-up'!$I$4,$V173-4,0))</f>
        <v/>
      </c>
      <c r="K173" s="268"/>
      <c r="L173" s="268"/>
      <c r="M173" s="268"/>
      <c r="N173" s="268"/>
      <c r="O173" s="268"/>
      <c r="P173" s="218"/>
      <c r="Q173" s="269"/>
      <c r="R173" s="215" t="str">
        <f ca="1">IF(ISERROR($V173),"",OFFSET('Smelter Look-up'!$C$4,$V173-4,0)&amp;"")</f>
        <v/>
      </c>
      <c r="S173" s="222" t="str">
        <f t="shared" ca="1" si="24"/>
        <v/>
      </c>
      <c r="T173" s="222" t="str">
        <f ca="1">IF(B173="","",IF(ISERROR(MATCH($J173,SorP!$B$1:$B$6230,0)),"",INDIRECT("'SorP'!$A$"&amp;MATCH($J173,SorP!$B$1:$B$6230,0))))</f>
        <v/>
      </c>
      <c r="U173" s="238"/>
      <c r="V173" s="270" t="e">
        <f>IF(C173="",NA(),MATCH($B173&amp;$C173,'Smelter Look-up'!$J:$J,0))</f>
        <v>#N/A</v>
      </c>
      <c r="W173" s="271"/>
      <c r="X173" s="271">
        <f t="shared" ca="1" si="25"/>
        <v>0</v>
      </c>
      <c r="Y173" s="271"/>
      <c r="Z173" s="271"/>
      <c r="AB173" s="273" t="str">
        <f t="shared" si="26"/>
        <v/>
      </c>
    </row>
    <row r="174" spans="1:28" s="272" customFormat="1" ht="20.399999999999999">
      <c r="A174" s="214"/>
      <c r="B174" s="215" t="str">
        <f>IF(LEN(A174)=0,"",INDEX('Smelter Look-up'!$A:$A,MATCH($A174,'Smelter Look-up'!$E:$E,0)))</f>
        <v/>
      </c>
      <c r="C174" s="219" t="str">
        <f>IF(LEN(A174)=0,"",INDEX('Smelter Look-up'!$C:$C,MATCH($A174,'Smelter Look-up'!$E:$E,0)))</f>
        <v/>
      </c>
      <c r="D174" s="278"/>
      <c r="E174" s="215" t="str">
        <f ca="1">IF(ISERROR($V174),"",OFFSET('Smelter Look-up'!$D$4,$V174-4,0)&amp;"")</f>
        <v/>
      </c>
      <c r="F174" s="215" t="str">
        <f ca="1">IF(ISERROR($V174),"",OFFSET('Smelter Look-up'!$E$4,$V174-4,0))</f>
        <v/>
      </c>
      <c r="G174" s="215" t="str">
        <f ca="1">IF(C174=$X$4,"Enter smelter details",IF(ISERROR($V174),"",OFFSET('Smelter Look-up'!$F$4,$V174-4,0)))</f>
        <v/>
      </c>
      <c r="H174" s="216" t="str">
        <f ca="1">IF(ISERROR($V174),"",OFFSET('Smelter Look-up'!$G$4,$V174-4,0))</f>
        <v/>
      </c>
      <c r="I174" s="217" t="str">
        <f ca="1">IF(ISERROR($V174),"",OFFSET('Smelter Look-up'!$H$4,$V174-4,0))</f>
        <v/>
      </c>
      <c r="J174" s="217" t="str">
        <f ca="1">IF(ISERROR($V174),"",OFFSET('Smelter Look-up'!$I$4,$V174-4,0))</f>
        <v/>
      </c>
      <c r="K174" s="268"/>
      <c r="L174" s="268"/>
      <c r="M174" s="268"/>
      <c r="N174" s="268"/>
      <c r="O174" s="268"/>
      <c r="P174" s="218"/>
      <c r="Q174" s="269"/>
      <c r="R174" s="215" t="str">
        <f ca="1">IF(ISERROR($V174),"",OFFSET('Smelter Look-up'!$C$4,$V174-4,0)&amp;"")</f>
        <v/>
      </c>
      <c r="S174" s="222" t="str">
        <f t="shared" ca="1" si="24"/>
        <v/>
      </c>
      <c r="T174" s="222" t="str">
        <f ca="1">IF(B174="","",IF(ISERROR(MATCH($J174,SorP!$B$1:$B$6230,0)),"",INDIRECT("'SorP'!$A$"&amp;MATCH($J174,SorP!$B$1:$B$6230,0))))</f>
        <v/>
      </c>
      <c r="U174" s="238"/>
      <c r="V174" s="270" t="e">
        <f>IF(C174="",NA(),MATCH($B174&amp;$C174,'Smelter Look-up'!$J:$J,0))</f>
        <v>#N/A</v>
      </c>
      <c r="W174" s="271"/>
      <c r="X174" s="271">
        <f t="shared" ca="1" si="25"/>
        <v>0</v>
      </c>
      <c r="Y174" s="271"/>
      <c r="Z174" s="271"/>
      <c r="AB174" s="273" t="str">
        <f t="shared" si="26"/>
        <v/>
      </c>
    </row>
    <row r="175" spans="1:28" s="272" customFormat="1" ht="20.399999999999999">
      <c r="A175" s="214"/>
      <c r="B175" s="215" t="str">
        <f>IF(LEN(A175)=0,"",INDEX('Smelter Look-up'!$A:$A,MATCH($A175,'Smelter Look-up'!$E:$E,0)))</f>
        <v/>
      </c>
      <c r="C175" s="219" t="str">
        <f>IF(LEN(A175)=0,"",INDEX('Smelter Look-up'!$C:$C,MATCH($A175,'Smelter Look-up'!$E:$E,0)))</f>
        <v/>
      </c>
      <c r="D175" s="278"/>
      <c r="E175" s="215" t="str">
        <f ca="1">IF(ISERROR($V175),"",OFFSET('Smelter Look-up'!$D$4,$V175-4,0)&amp;"")</f>
        <v/>
      </c>
      <c r="F175" s="215" t="str">
        <f ca="1">IF(ISERROR($V175),"",OFFSET('Smelter Look-up'!$E$4,$V175-4,0))</f>
        <v/>
      </c>
      <c r="G175" s="215" t="str">
        <f ca="1">IF(C175=$X$4,"Enter smelter details",IF(ISERROR($V175),"",OFFSET('Smelter Look-up'!$F$4,$V175-4,0)))</f>
        <v/>
      </c>
      <c r="H175" s="216" t="str">
        <f ca="1">IF(ISERROR($V175),"",OFFSET('Smelter Look-up'!$G$4,$V175-4,0))</f>
        <v/>
      </c>
      <c r="I175" s="217" t="str">
        <f ca="1">IF(ISERROR($V175),"",OFFSET('Smelter Look-up'!$H$4,$V175-4,0))</f>
        <v/>
      </c>
      <c r="J175" s="217" t="str">
        <f ca="1">IF(ISERROR($V175),"",OFFSET('Smelter Look-up'!$I$4,$V175-4,0))</f>
        <v/>
      </c>
      <c r="K175" s="268"/>
      <c r="L175" s="268"/>
      <c r="M175" s="268"/>
      <c r="N175" s="268"/>
      <c r="O175" s="268"/>
      <c r="P175" s="218"/>
      <c r="Q175" s="269"/>
      <c r="R175" s="215" t="str">
        <f ca="1">IF(ISERROR($V175),"",OFFSET('Smelter Look-up'!$C$4,$V175-4,0)&amp;"")</f>
        <v/>
      </c>
      <c r="S175" s="222" t="str">
        <f t="shared" ca="1" si="24"/>
        <v/>
      </c>
      <c r="T175" s="222" t="str">
        <f ca="1">IF(B175="","",IF(ISERROR(MATCH($J175,SorP!$B$1:$B$6230,0)),"",INDIRECT("'SorP'!$A$"&amp;MATCH($J175,SorP!$B$1:$B$6230,0))))</f>
        <v/>
      </c>
      <c r="U175" s="238"/>
      <c r="V175" s="270" t="e">
        <f>IF(C175="",NA(),MATCH($B175&amp;$C175,'Smelter Look-up'!$J:$J,0))</f>
        <v>#N/A</v>
      </c>
      <c r="W175" s="271"/>
      <c r="X175" s="271">
        <f t="shared" ca="1" si="25"/>
        <v>0</v>
      </c>
      <c r="Y175" s="271"/>
      <c r="Z175" s="271"/>
      <c r="AB175" s="273" t="str">
        <f t="shared" si="26"/>
        <v/>
      </c>
    </row>
    <row r="176" spans="1:28" s="272" customFormat="1" ht="20.399999999999999">
      <c r="A176" s="214"/>
      <c r="B176" s="215" t="str">
        <f>IF(LEN(A176)=0,"",INDEX('Smelter Look-up'!$A:$A,MATCH($A176,'Smelter Look-up'!$E:$E,0)))</f>
        <v/>
      </c>
      <c r="C176" s="219" t="str">
        <f>IF(LEN(A176)=0,"",INDEX('Smelter Look-up'!$C:$C,MATCH($A176,'Smelter Look-up'!$E:$E,0)))</f>
        <v/>
      </c>
      <c r="D176" s="278"/>
      <c r="E176" s="215" t="str">
        <f ca="1">IF(ISERROR($V176),"",OFFSET('Smelter Look-up'!$D$4,$V176-4,0)&amp;"")</f>
        <v/>
      </c>
      <c r="F176" s="215" t="str">
        <f ca="1">IF(ISERROR($V176),"",OFFSET('Smelter Look-up'!$E$4,$V176-4,0))</f>
        <v/>
      </c>
      <c r="G176" s="215" t="str">
        <f ca="1">IF(C176=$X$4,"Enter smelter details",IF(ISERROR($V176),"",OFFSET('Smelter Look-up'!$F$4,$V176-4,0)))</f>
        <v/>
      </c>
      <c r="H176" s="216" t="str">
        <f ca="1">IF(ISERROR($V176),"",OFFSET('Smelter Look-up'!$G$4,$V176-4,0))</f>
        <v/>
      </c>
      <c r="I176" s="217" t="str">
        <f ca="1">IF(ISERROR($V176),"",OFFSET('Smelter Look-up'!$H$4,$V176-4,0))</f>
        <v/>
      </c>
      <c r="J176" s="217" t="str">
        <f ca="1">IF(ISERROR($V176),"",OFFSET('Smelter Look-up'!$I$4,$V176-4,0))</f>
        <v/>
      </c>
      <c r="K176" s="268"/>
      <c r="L176" s="268"/>
      <c r="M176" s="268"/>
      <c r="N176" s="268"/>
      <c r="O176" s="268"/>
      <c r="P176" s="218"/>
      <c r="Q176" s="269"/>
      <c r="R176" s="215" t="str">
        <f ca="1">IF(ISERROR($V176),"",OFFSET('Smelter Look-up'!$C$4,$V176-4,0)&amp;"")</f>
        <v/>
      </c>
      <c r="S176" s="222" t="str">
        <f t="shared" ca="1" si="24"/>
        <v/>
      </c>
      <c r="T176" s="222" t="str">
        <f ca="1">IF(B176="","",IF(ISERROR(MATCH($J176,SorP!$B$1:$B$6230,0)),"",INDIRECT("'SorP'!$A$"&amp;MATCH($J176,SorP!$B$1:$B$6230,0))))</f>
        <v/>
      </c>
      <c r="U176" s="238"/>
      <c r="V176" s="270" t="e">
        <f>IF(C176="",NA(),MATCH($B176&amp;$C176,'Smelter Look-up'!$J:$J,0))</f>
        <v>#N/A</v>
      </c>
      <c r="W176" s="271"/>
      <c r="X176" s="271">
        <f t="shared" ca="1" si="25"/>
        <v>0</v>
      </c>
      <c r="Y176" s="271"/>
      <c r="Z176" s="271"/>
      <c r="AB176" s="273" t="str">
        <f t="shared" si="26"/>
        <v/>
      </c>
    </row>
    <row r="177" spans="1:28" s="272" customFormat="1" ht="20.399999999999999">
      <c r="A177" s="214"/>
      <c r="B177" s="215" t="str">
        <f>IF(LEN(A177)=0,"",INDEX('Smelter Look-up'!$A:$A,MATCH($A177,'Smelter Look-up'!$E:$E,0)))</f>
        <v/>
      </c>
      <c r="C177" s="219" t="str">
        <f>IF(LEN(A177)=0,"",INDEX('Smelter Look-up'!$C:$C,MATCH($A177,'Smelter Look-up'!$E:$E,0)))</f>
        <v/>
      </c>
      <c r="D177" s="278"/>
      <c r="E177" s="215" t="str">
        <f ca="1">IF(ISERROR($V177),"",OFFSET('Smelter Look-up'!$D$4,$V177-4,0)&amp;"")</f>
        <v/>
      </c>
      <c r="F177" s="215" t="str">
        <f ca="1">IF(ISERROR($V177),"",OFFSET('Smelter Look-up'!$E$4,$V177-4,0))</f>
        <v/>
      </c>
      <c r="G177" s="215" t="str">
        <f ca="1">IF(C177=$X$4,"Enter smelter details",IF(ISERROR($V177),"",OFFSET('Smelter Look-up'!$F$4,$V177-4,0)))</f>
        <v/>
      </c>
      <c r="H177" s="216" t="str">
        <f ca="1">IF(ISERROR($V177),"",OFFSET('Smelter Look-up'!$G$4,$V177-4,0))</f>
        <v/>
      </c>
      <c r="I177" s="217" t="str">
        <f ca="1">IF(ISERROR($V177),"",OFFSET('Smelter Look-up'!$H$4,$V177-4,0))</f>
        <v/>
      </c>
      <c r="J177" s="217" t="str">
        <f ca="1">IF(ISERROR($V177),"",OFFSET('Smelter Look-up'!$I$4,$V177-4,0))</f>
        <v/>
      </c>
      <c r="K177" s="268"/>
      <c r="L177" s="268"/>
      <c r="M177" s="268"/>
      <c r="N177" s="268"/>
      <c r="O177" s="268"/>
      <c r="P177" s="218"/>
      <c r="Q177" s="269"/>
      <c r="R177" s="215" t="str">
        <f ca="1">IF(ISERROR($V177),"",OFFSET('Smelter Look-up'!$C$4,$V177-4,0)&amp;"")</f>
        <v/>
      </c>
      <c r="S177" s="222" t="str">
        <f t="shared" ca="1" si="24"/>
        <v/>
      </c>
      <c r="T177" s="222" t="str">
        <f ca="1">IF(B177="","",IF(ISERROR(MATCH($J177,SorP!$B$1:$B$6230,0)),"",INDIRECT("'SorP'!$A$"&amp;MATCH($J177,SorP!$B$1:$B$6230,0))))</f>
        <v/>
      </c>
      <c r="U177" s="238"/>
      <c r="V177" s="270" t="e">
        <f>IF(C177="",NA(),MATCH($B177&amp;$C177,'Smelter Look-up'!$J:$J,0))</f>
        <v>#N/A</v>
      </c>
      <c r="W177" s="271"/>
      <c r="X177" s="271">
        <f t="shared" ca="1" si="25"/>
        <v>0</v>
      </c>
      <c r="Y177" s="271"/>
      <c r="Z177" s="271"/>
      <c r="AB177" s="273" t="str">
        <f t="shared" si="26"/>
        <v/>
      </c>
    </row>
    <row r="178" spans="1:28" s="272" customFormat="1" ht="20.399999999999999">
      <c r="A178" s="214"/>
      <c r="B178" s="215" t="str">
        <f>IF(LEN(A178)=0,"",INDEX('Smelter Look-up'!$A:$A,MATCH($A178,'Smelter Look-up'!$E:$E,0)))</f>
        <v/>
      </c>
      <c r="C178" s="219" t="str">
        <f>IF(LEN(A178)=0,"",INDEX('Smelter Look-up'!$C:$C,MATCH($A178,'Smelter Look-up'!$E:$E,0)))</f>
        <v/>
      </c>
      <c r="D178" s="278"/>
      <c r="E178" s="215" t="str">
        <f ca="1">IF(ISERROR($V178),"",OFFSET('Smelter Look-up'!$D$4,$V178-4,0)&amp;"")</f>
        <v/>
      </c>
      <c r="F178" s="215" t="str">
        <f ca="1">IF(ISERROR($V178),"",OFFSET('Smelter Look-up'!$E$4,$V178-4,0))</f>
        <v/>
      </c>
      <c r="G178" s="215" t="str">
        <f ca="1">IF(C178=$X$4,"Enter smelter details",IF(ISERROR($V178),"",OFFSET('Smelter Look-up'!$F$4,$V178-4,0)))</f>
        <v/>
      </c>
      <c r="H178" s="216" t="str">
        <f ca="1">IF(ISERROR($V178),"",OFFSET('Smelter Look-up'!$G$4,$V178-4,0))</f>
        <v/>
      </c>
      <c r="I178" s="217" t="str">
        <f ca="1">IF(ISERROR($V178),"",OFFSET('Smelter Look-up'!$H$4,$V178-4,0))</f>
        <v/>
      </c>
      <c r="J178" s="217" t="str">
        <f ca="1">IF(ISERROR($V178),"",OFFSET('Smelter Look-up'!$I$4,$V178-4,0))</f>
        <v/>
      </c>
      <c r="K178" s="268"/>
      <c r="L178" s="268"/>
      <c r="M178" s="268"/>
      <c r="N178" s="268"/>
      <c r="O178" s="268"/>
      <c r="P178" s="218"/>
      <c r="Q178" s="269"/>
      <c r="R178" s="215" t="str">
        <f ca="1">IF(ISERROR($V178),"",OFFSET('Smelter Look-up'!$C$4,$V178-4,0)&amp;"")</f>
        <v/>
      </c>
      <c r="S178" s="222" t="str">
        <f t="shared" ca="1" si="24"/>
        <v/>
      </c>
      <c r="T178" s="222" t="str">
        <f ca="1">IF(B178="","",IF(ISERROR(MATCH($J178,SorP!$B$1:$B$6230,0)),"",INDIRECT("'SorP'!$A$"&amp;MATCH($J178,SorP!$B$1:$B$6230,0))))</f>
        <v/>
      </c>
      <c r="U178" s="238"/>
      <c r="V178" s="270" t="e">
        <f>IF(C178="",NA(),MATCH($B178&amp;$C178,'Smelter Look-up'!$J:$J,0))</f>
        <v>#N/A</v>
      </c>
      <c r="W178" s="271"/>
      <c r="X178" s="271">
        <f t="shared" ca="1" si="25"/>
        <v>0</v>
      </c>
      <c r="Y178" s="271"/>
      <c r="Z178" s="271"/>
      <c r="AB178" s="273" t="str">
        <f t="shared" si="26"/>
        <v/>
      </c>
    </row>
    <row r="179" spans="1:28" s="272" customFormat="1" ht="20.399999999999999">
      <c r="A179" s="214"/>
      <c r="B179" s="215" t="str">
        <f>IF(LEN(A179)=0,"",INDEX('Smelter Look-up'!$A:$A,MATCH($A179,'Smelter Look-up'!$E:$E,0)))</f>
        <v/>
      </c>
      <c r="C179" s="219" t="str">
        <f>IF(LEN(A179)=0,"",INDEX('Smelter Look-up'!$C:$C,MATCH($A179,'Smelter Look-up'!$E:$E,0)))</f>
        <v/>
      </c>
      <c r="D179" s="278"/>
      <c r="E179" s="215" t="str">
        <f ca="1">IF(ISERROR($V179),"",OFFSET('Smelter Look-up'!$D$4,$V179-4,0)&amp;"")</f>
        <v/>
      </c>
      <c r="F179" s="215" t="str">
        <f ca="1">IF(ISERROR($V179),"",OFFSET('Smelter Look-up'!$E$4,$V179-4,0))</f>
        <v/>
      </c>
      <c r="G179" s="215" t="str">
        <f ca="1">IF(C179=$X$4,"Enter smelter details",IF(ISERROR($V179),"",OFFSET('Smelter Look-up'!$F$4,$V179-4,0)))</f>
        <v/>
      </c>
      <c r="H179" s="216" t="str">
        <f ca="1">IF(ISERROR($V179),"",OFFSET('Smelter Look-up'!$G$4,$V179-4,0))</f>
        <v/>
      </c>
      <c r="I179" s="217" t="str">
        <f ca="1">IF(ISERROR($V179),"",OFFSET('Smelter Look-up'!$H$4,$V179-4,0))</f>
        <v/>
      </c>
      <c r="J179" s="217" t="str">
        <f ca="1">IF(ISERROR($V179),"",OFFSET('Smelter Look-up'!$I$4,$V179-4,0))</f>
        <v/>
      </c>
      <c r="K179" s="268"/>
      <c r="L179" s="268"/>
      <c r="M179" s="268"/>
      <c r="N179" s="268"/>
      <c r="O179" s="268"/>
      <c r="P179" s="218"/>
      <c r="Q179" s="269"/>
      <c r="R179" s="215" t="str">
        <f ca="1">IF(ISERROR($V179),"",OFFSET('Smelter Look-up'!$C$4,$V179-4,0)&amp;"")</f>
        <v/>
      </c>
      <c r="S179" s="222" t="str">
        <f t="shared" ca="1" si="24"/>
        <v/>
      </c>
      <c r="T179" s="222" t="str">
        <f ca="1">IF(B179="","",IF(ISERROR(MATCH($J179,SorP!$B$1:$B$6230,0)),"",INDIRECT("'SorP'!$A$"&amp;MATCH($J179,SorP!$B$1:$B$6230,0))))</f>
        <v/>
      </c>
      <c r="U179" s="238"/>
      <c r="V179" s="270" t="e">
        <f>IF(C179="",NA(),MATCH($B179&amp;$C179,'Smelter Look-up'!$J:$J,0))</f>
        <v>#N/A</v>
      </c>
      <c r="W179" s="271"/>
      <c r="X179" s="271">
        <f t="shared" ca="1" si="25"/>
        <v>0</v>
      </c>
      <c r="Y179" s="271"/>
      <c r="Z179" s="271"/>
      <c r="AB179" s="273" t="str">
        <f t="shared" si="26"/>
        <v/>
      </c>
    </row>
    <row r="180" spans="1:28" s="272" customFormat="1" ht="20.399999999999999">
      <c r="A180" s="214"/>
      <c r="B180" s="215" t="str">
        <f>IF(LEN(A180)=0,"",INDEX('Smelter Look-up'!$A:$A,MATCH($A180,'Smelter Look-up'!$E:$E,0)))</f>
        <v/>
      </c>
      <c r="C180" s="219" t="str">
        <f>IF(LEN(A180)=0,"",INDEX('Smelter Look-up'!$C:$C,MATCH($A180,'Smelter Look-up'!$E:$E,0)))</f>
        <v/>
      </c>
      <c r="D180" s="278"/>
      <c r="E180" s="215" t="str">
        <f ca="1">IF(ISERROR($V180),"",OFFSET('Smelter Look-up'!$D$4,$V180-4,0)&amp;"")</f>
        <v/>
      </c>
      <c r="F180" s="215" t="str">
        <f ca="1">IF(ISERROR($V180),"",OFFSET('Smelter Look-up'!$E$4,$V180-4,0))</f>
        <v/>
      </c>
      <c r="G180" s="215" t="str">
        <f ca="1">IF(C180=$X$4,"Enter smelter details",IF(ISERROR($V180),"",OFFSET('Smelter Look-up'!$F$4,$V180-4,0)))</f>
        <v/>
      </c>
      <c r="H180" s="216" t="str">
        <f ca="1">IF(ISERROR($V180),"",OFFSET('Smelter Look-up'!$G$4,$V180-4,0))</f>
        <v/>
      </c>
      <c r="I180" s="217" t="str">
        <f ca="1">IF(ISERROR($V180),"",OFFSET('Smelter Look-up'!$H$4,$V180-4,0))</f>
        <v/>
      </c>
      <c r="J180" s="217" t="str">
        <f ca="1">IF(ISERROR($V180),"",OFFSET('Smelter Look-up'!$I$4,$V180-4,0))</f>
        <v/>
      </c>
      <c r="K180" s="268"/>
      <c r="L180" s="268"/>
      <c r="M180" s="268"/>
      <c r="N180" s="268"/>
      <c r="O180" s="268"/>
      <c r="P180" s="218"/>
      <c r="Q180" s="269"/>
      <c r="R180" s="215" t="str">
        <f ca="1">IF(ISERROR($V180),"",OFFSET('Smelter Look-up'!$C$4,$V180-4,0)&amp;"")</f>
        <v/>
      </c>
      <c r="S180" s="222" t="str">
        <f t="shared" ca="1" si="24"/>
        <v/>
      </c>
      <c r="T180" s="222" t="str">
        <f ca="1">IF(B180="","",IF(ISERROR(MATCH($J180,SorP!$B$1:$B$6230,0)),"",INDIRECT("'SorP'!$A$"&amp;MATCH($J180,SorP!$B$1:$B$6230,0))))</f>
        <v/>
      </c>
      <c r="U180" s="238"/>
      <c r="V180" s="270" t="e">
        <f>IF(C180="",NA(),MATCH($B180&amp;$C180,'Smelter Look-up'!$J:$J,0))</f>
        <v>#N/A</v>
      </c>
      <c r="W180" s="271"/>
      <c r="X180" s="271">
        <f t="shared" ca="1" si="25"/>
        <v>0</v>
      </c>
      <c r="Y180" s="271"/>
      <c r="Z180" s="271"/>
      <c r="AB180" s="273" t="str">
        <f t="shared" si="26"/>
        <v/>
      </c>
    </row>
    <row r="181" spans="1:28" s="272" customFormat="1" ht="20.399999999999999">
      <c r="A181" s="214"/>
      <c r="B181" s="215" t="str">
        <f>IF(LEN(A181)=0,"",INDEX('Smelter Look-up'!$A:$A,MATCH($A181,'Smelter Look-up'!$E:$E,0)))</f>
        <v/>
      </c>
      <c r="C181" s="219" t="str">
        <f>IF(LEN(A181)=0,"",INDEX('Smelter Look-up'!$C:$C,MATCH($A181,'Smelter Look-up'!$E:$E,0)))</f>
        <v/>
      </c>
      <c r="D181" s="278"/>
      <c r="E181" s="215" t="str">
        <f ca="1">IF(ISERROR($V181),"",OFFSET('Smelter Look-up'!$D$4,$V181-4,0)&amp;"")</f>
        <v/>
      </c>
      <c r="F181" s="215" t="str">
        <f ca="1">IF(ISERROR($V181),"",OFFSET('Smelter Look-up'!$E$4,$V181-4,0))</f>
        <v/>
      </c>
      <c r="G181" s="215" t="str">
        <f ca="1">IF(C181=$X$4,"Enter smelter details",IF(ISERROR($V181),"",OFFSET('Smelter Look-up'!$F$4,$V181-4,0)))</f>
        <v/>
      </c>
      <c r="H181" s="216" t="str">
        <f ca="1">IF(ISERROR($V181),"",OFFSET('Smelter Look-up'!$G$4,$V181-4,0))</f>
        <v/>
      </c>
      <c r="I181" s="217" t="str">
        <f ca="1">IF(ISERROR($V181),"",OFFSET('Smelter Look-up'!$H$4,$V181-4,0))</f>
        <v/>
      </c>
      <c r="J181" s="217" t="str">
        <f ca="1">IF(ISERROR($V181),"",OFFSET('Smelter Look-up'!$I$4,$V181-4,0))</f>
        <v/>
      </c>
      <c r="K181" s="268"/>
      <c r="L181" s="268"/>
      <c r="M181" s="268"/>
      <c r="N181" s="268"/>
      <c r="O181" s="268"/>
      <c r="P181" s="218"/>
      <c r="Q181" s="269"/>
      <c r="R181" s="215" t="str">
        <f ca="1">IF(ISERROR($V181),"",OFFSET('Smelter Look-up'!$C$4,$V181-4,0)&amp;"")</f>
        <v/>
      </c>
      <c r="S181" s="222" t="str">
        <f t="shared" ca="1" si="24"/>
        <v/>
      </c>
      <c r="T181" s="222" t="str">
        <f ca="1">IF(B181="","",IF(ISERROR(MATCH($J181,SorP!$B$1:$B$6230,0)),"",INDIRECT("'SorP'!$A$"&amp;MATCH($J181,SorP!$B$1:$B$6230,0))))</f>
        <v/>
      </c>
      <c r="U181" s="238"/>
      <c r="V181" s="270" t="e">
        <f>IF(C181="",NA(),MATCH($B181&amp;$C181,'Smelter Look-up'!$J:$J,0))</f>
        <v>#N/A</v>
      </c>
      <c r="W181" s="271"/>
      <c r="X181" s="271">
        <f t="shared" ca="1" si="25"/>
        <v>0</v>
      </c>
      <c r="Y181" s="271"/>
      <c r="Z181" s="271"/>
      <c r="AB181" s="273" t="str">
        <f t="shared" si="26"/>
        <v/>
      </c>
    </row>
    <row r="182" spans="1:28" s="272" customFormat="1" ht="20.399999999999999">
      <c r="A182" s="214"/>
      <c r="B182" s="215" t="str">
        <f>IF(LEN(A182)=0,"",INDEX('Smelter Look-up'!$A:$A,MATCH($A182,'Smelter Look-up'!$E:$E,0)))</f>
        <v/>
      </c>
      <c r="C182" s="219" t="str">
        <f>IF(LEN(A182)=0,"",INDEX('Smelter Look-up'!$C:$C,MATCH($A182,'Smelter Look-up'!$E:$E,0)))</f>
        <v/>
      </c>
      <c r="D182" s="278"/>
      <c r="E182" s="215" t="str">
        <f ca="1">IF(ISERROR($V182),"",OFFSET('Smelter Look-up'!$D$4,$V182-4,0)&amp;"")</f>
        <v/>
      </c>
      <c r="F182" s="215" t="str">
        <f ca="1">IF(ISERROR($V182),"",OFFSET('Smelter Look-up'!$E$4,$V182-4,0))</f>
        <v/>
      </c>
      <c r="G182" s="215" t="str">
        <f ca="1">IF(C182=$X$4,"Enter smelter details",IF(ISERROR($V182),"",OFFSET('Smelter Look-up'!$F$4,$V182-4,0)))</f>
        <v/>
      </c>
      <c r="H182" s="216" t="str">
        <f ca="1">IF(ISERROR($V182),"",OFFSET('Smelter Look-up'!$G$4,$V182-4,0))</f>
        <v/>
      </c>
      <c r="I182" s="217" t="str">
        <f ca="1">IF(ISERROR($V182),"",OFFSET('Smelter Look-up'!$H$4,$V182-4,0))</f>
        <v/>
      </c>
      <c r="J182" s="217" t="str">
        <f ca="1">IF(ISERROR($V182),"",OFFSET('Smelter Look-up'!$I$4,$V182-4,0))</f>
        <v/>
      </c>
      <c r="K182" s="268"/>
      <c r="L182" s="268"/>
      <c r="M182" s="268"/>
      <c r="N182" s="268"/>
      <c r="O182" s="268"/>
      <c r="P182" s="218"/>
      <c r="Q182" s="269"/>
      <c r="R182" s="215" t="str">
        <f ca="1">IF(ISERROR($V182),"",OFFSET('Smelter Look-up'!$C$4,$V182-4,0)&amp;"")</f>
        <v/>
      </c>
      <c r="S182" s="222" t="str">
        <f t="shared" ca="1" si="24"/>
        <v/>
      </c>
      <c r="T182" s="222" t="str">
        <f ca="1">IF(B182="","",IF(ISERROR(MATCH($J182,SorP!$B$1:$B$6230,0)),"",INDIRECT("'SorP'!$A$"&amp;MATCH($J182,SorP!$B$1:$B$6230,0))))</f>
        <v/>
      </c>
      <c r="U182" s="238"/>
      <c r="V182" s="270" t="e">
        <f>IF(C182="",NA(),MATCH($B182&amp;$C182,'Smelter Look-up'!$J:$J,0))</f>
        <v>#N/A</v>
      </c>
      <c r="W182" s="271"/>
      <c r="X182" s="271">
        <f t="shared" ca="1" si="25"/>
        <v>0</v>
      </c>
      <c r="Y182" s="271"/>
      <c r="Z182" s="271"/>
      <c r="AB182" s="273" t="str">
        <f t="shared" si="26"/>
        <v/>
      </c>
    </row>
    <row r="183" spans="1:28" s="272" customFormat="1" ht="20.399999999999999">
      <c r="A183" s="214"/>
      <c r="B183" s="215" t="str">
        <f>IF(LEN(A183)=0,"",INDEX('Smelter Look-up'!$A:$A,MATCH($A183,'Smelter Look-up'!$E:$E,0)))</f>
        <v/>
      </c>
      <c r="C183" s="219" t="str">
        <f>IF(LEN(A183)=0,"",INDEX('Smelter Look-up'!$C:$C,MATCH($A183,'Smelter Look-up'!$E:$E,0)))</f>
        <v/>
      </c>
      <c r="D183" s="278"/>
      <c r="E183" s="215" t="str">
        <f ca="1">IF(ISERROR($V183),"",OFFSET('Smelter Look-up'!$D$4,$V183-4,0)&amp;"")</f>
        <v/>
      </c>
      <c r="F183" s="215" t="str">
        <f ca="1">IF(ISERROR($V183),"",OFFSET('Smelter Look-up'!$E$4,$V183-4,0))</f>
        <v/>
      </c>
      <c r="G183" s="215" t="str">
        <f ca="1">IF(C183=$X$4,"Enter smelter details",IF(ISERROR($V183),"",OFFSET('Smelter Look-up'!$F$4,$V183-4,0)))</f>
        <v/>
      </c>
      <c r="H183" s="216" t="str">
        <f ca="1">IF(ISERROR($V183),"",OFFSET('Smelter Look-up'!$G$4,$V183-4,0))</f>
        <v/>
      </c>
      <c r="I183" s="217" t="str">
        <f ca="1">IF(ISERROR($V183),"",OFFSET('Smelter Look-up'!$H$4,$V183-4,0))</f>
        <v/>
      </c>
      <c r="J183" s="217" t="str">
        <f ca="1">IF(ISERROR($V183),"",OFFSET('Smelter Look-up'!$I$4,$V183-4,0))</f>
        <v/>
      </c>
      <c r="K183" s="268"/>
      <c r="L183" s="268"/>
      <c r="M183" s="268"/>
      <c r="N183" s="268"/>
      <c r="O183" s="268"/>
      <c r="P183" s="218"/>
      <c r="Q183" s="269"/>
      <c r="R183" s="215" t="str">
        <f ca="1">IF(ISERROR($V183),"",OFFSET('Smelter Look-up'!$C$4,$V183-4,0)&amp;"")</f>
        <v/>
      </c>
      <c r="S183" s="222" t="str">
        <f t="shared" ca="1" si="24"/>
        <v/>
      </c>
      <c r="T183" s="222" t="str">
        <f ca="1">IF(B183="","",IF(ISERROR(MATCH($J183,SorP!$B$1:$B$6230,0)),"",INDIRECT("'SorP'!$A$"&amp;MATCH($J183,SorP!$B$1:$B$6230,0))))</f>
        <v/>
      </c>
      <c r="U183" s="238"/>
      <c r="V183" s="270" t="e">
        <f>IF(C183="",NA(),MATCH($B183&amp;$C183,'Smelter Look-up'!$J:$J,0))</f>
        <v>#N/A</v>
      </c>
      <c r="W183" s="271"/>
      <c r="X183" s="271">
        <f t="shared" ca="1" si="25"/>
        <v>0</v>
      </c>
      <c r="Y183" s="271"/>
      <c r="Z183" s="271"/>
      <c r="AB183" s="273" t="str">
        <f t="shared" si="26"/>
        <v/>
      </c>
    </row>
    <row r="184" spans="1:28" s="272" customFormat="1" ht="20.399999999999999">
      <c r="A184" s="214"/>
      <c r="B184" s="215" t="str">
        <f>IF(LEN(A184)=0,"",INDEX('Smelter Look-up'!$A:$A,MATCH($A184,'Smelter Look-up'!$E:$E,0)))</f>
        <v/>
      </c>
      <c r="C184" s="219" t="str">
        <f>IF(LEN(A184)=0,"",INDEX('Smelter Look-up'!$C:$C,MATCH($A184,'Smelter Look-up'!$E:$E,0)))</f>
        <v/>
      </c>
      <c r="D184" s="278"/>
      <c r="E184" s="215" t="str">
        <f ca="1">IF(ISERROR($V184),"",OFFSET('Smelter Look-up'!$D$4,$V184-4,0)&amp;"")</f>
        <v/>
      </c>
      <c r="F184" s="215" t="str">
        <f ca="1">IF(ISERROR($V184),"",OFFSET('Smelter Look-up'!$E$4,$V184-4,0))</f>
        <v/>
      </c>
      <c r="G184" s="215" t="str">
        <f ca="1">IF(C184=$X$4,"Enter smelter details",IF(ISERROR($V184),"",OFFSET('Smelter Look-up'!$F$4,$V184-4,0)))</f>
        <v/>
      </c>
      <c r="H184" s="216" t="str">
        <f ca="1">IF(ISERROR($V184),"",OFFSET('Smelter Look-up'!$G$4,$V184-4,0))</f>
        <v/>
      </c>
      <c r="I184" s="217" t="str">
        <f ca="1">IF(ISERROR($V184),"",OFFSET('Smelter Look-up'!$H$4,$V184-4,0))</f>
        <v/>
      </c>
      <c r="J184" s="217" t="str">
        <f ca="1">IF(ISERROR($V184),"",OFFSET('Smelter Look-up'!$I$4,$V184-4,0))</f>
        <v/>
      </c>
      <c r="K184" s="268"/>
      <c r="L184" s="268"/>
      <c r="M184" s="268"/>
      <c r="N184" s="268"/>
      <c r="O184" s="268"/>
      <c r="P184" s="218"/>
      <c r="Q184" s="269"/>
      <c r="R184" s="215" t="str">
        <f ca="1">IF(ISERROR($V184),"",OFFSET('Smelter Look-up'!$C$4,$V184-4,0)&amp;"")</f>
        <v/>
      </c>
      <c r="S184" s="222" t="str">
        <f t="shared" ca="1" si="24"/>
        <v/>
      </c>
      <c r="T184" s="222" t="str">
        <f ca="1">IF(B184="","",IF(ISERROR(MATCH($J184,SorP!$B$1:$B$6230,0)),"",INDIRECT("'SorP'!$A$"&amp;MATCH($J184,SorP!$B$1:$B$6230,0))))</f>
        <v/>
      </c>
      <c r="U184" s="238"/>
      <c r="V184" s="270" t="e">
        <f>IF(C184="",NA(),MATCH($B184&amp;$C184,'Smelter Look-up'!$J:$J,0))</f>
        <v>#N/A</v>
      </c>
      <c r="W184" s="271"/>
      <c r="X184" s="271">
        <f t="shared" ca="1" si="25"/>
        <v>0</v>
      </c>
      <c r="Y184" s="271"/>
      <c r="Z184" s="271"/>
      <c r="AB184" s="273" t="str">
        <f t="shared" si="26"/>
        <v/>
      </c>
    </row>
    <row r="185" spans="1:28" s="272" customFormat="1" ht="20.399999999999999">
      <c r="A185" s="214"/>
      <c r="B185" s="215" t="str">
        <f>IF(LEN(A185)=0,"",INDEX('Smelter Look-up'!$A:$A,MATCH($A185,'Smelter Look-up'!$E:$E,0)))</f>
        <v/>
      </c>
      <c r="C185" s="219" t="str">
        <f>IF(LEN(A185)=0,"",INDEX('Smelter Look-up'!$C:$C,MATCH($A185,'Smelter Look-up'!$E:$E,0)))</f>
        <v/>
      </c>
      <c r="D185" s="278"/>
      <c r="E185" s="215" t="str">
        <f ca="1">IF(ISERROR($V185),"",OFFSET('Smelter Look-up'!$D$4,$V185-4,0)&amp;"")</f>
        <v/>
      </c>
      <c r="F185" s="215" t="str">
        <f ca="1">IF(ISERROR($V185),"",OFFSET('Smelter Look-up'!$E$4,$V185-4,0))</f>
        <v/>
      </c>
      <c r="G185" s="215" t="str">
        <f ca="1">IF(C185=$X$4,"Enter smelter details",IF(ISERROR($V185),"",OFFSET('Smelter Look-up'!$F$4,$V185-4,0)))</f>
        <v/>
      </c>
      <c r="H185" s="216" t="str">
        <f ca="1">IF(ISERROR($V185),"",OFFSET('Smelter Look-up'!$G$4,$V185-4,0))</f>
        <v/>
      </c>
      <c r="I185" s="217" t="str">
        <f ca="1">IF(ISERROR($V185),"",OFFSET('Smelter Look-up'!$H$4,$V185-4,0))</f>
        <v/>
      </c>
      <c r="J185" s="217" t="str">
        <f ca="1">IF(ISERROR($V185),"",OFFSET('Smelter Look-up'!$I$4,$V185-4,0))</f>
        <v/>
      </c>
      <c r="K185" s="268"/>
      <c r="L185" s="268"/>
      <c r="M185" s="268"/>
      <c r="N185" s="268"/>
      <c r="O185" s="268"/>
      <c r="P185" s="218"/>
      <c r="Q185" s="269"/>
      <c r="R185" s="215" t="str">
        <f ca="1">IF(ISERROR($V185),"",OFFSET('Smelter Look-up'!$C$4,$V185-4,0)&amp;"")</f>
        <v/>
      </c>
      <c r="S185" s="222" t="str">
        <f t="shared" ca="1" si="24"/>
        <v/>
      </c>
      <c r="T185" s="222" t="str">
        <f ca="1">IF(B185="","",IF(ISERROR(MATCH($J185,SorP!$B$1:$B$6230,0)),"",INDIRECT("'SorP'!$A$"&amp;MATCH($J185,SorP!$B$1:$B$6230,0))))</f>
        <v/>
      </c>
      <c r="U185" s="238"/>
      <c r="V185" s="270" t="e">
        <f>IF(C185="",NA(),MATCH($B185&amp;$C185,'Smelter Look-up'!$J:$J,0))</f>
        <v>#N/A</v>
      </c>
      <c r="W185" s="271"/>
      <c r="X185" s="271">
        <f t="shared" ca="1" si="25"/>
        <v>0</v>
      </c>
      <c r="Y185" s="271"/>
      <c r="Z185" s="271"/>
      <c r="AB185" s="273" t="str">
        <f t="shared" si="26"/>
        <v/>
      </c>
    </row>
    <row r="186" spans="1:28" s="272" customFormat="1" ht="20.399999999999999">
      <c r="A186" s="214"/>
      <c r="B186" s="215" t="str">
        <f>IF(LEN(A186)=0,"",INDEX('Smelter Look-up'!$A:$A,MATCH($A186,'Smelter Look-up'!$E:$E,0)))</f>
        <v/>
      </c>
      <c r="C186" s="219" t="str">
        <f>IF(LEN(A186)=0,"",INDEX('Smelter Look-up'!$C:$C,MATCH($A186,'Smelter Look-up'!$E:$E,0)))</f>
        <v/>
      </c>
      <c r="D186" s="278"/>
      <c r="E186" s="215" t="str">
        <f ca="1">IF(ISERROR($V186),"",OFFSET('Smelter Look-up'!$D$4,$V186-4,0)&amp;"")</f>
        <v/>
      </c>
      <c r="F186" s="215" t="str">
        <f ca="1">IF(ISERROR($V186),"",OFFSET('Smelter Look-up'!$E$4,$V186-4,0))</f>
        <v/>
      </c>
      <c r="G186" s="215" t="str">
        <f ca="1">IF(C186=$X$4,"Enter smelter details",IF(ISERROR($V186),"",OFFSET('Smelter Look-up'!$F$4,$V186-4,0)))</f>
        <v/>
      </c>
      <c r="H186" s="216" t="str">
        <f ca="1">IF(ISERROR($V186),"",OFFSET('Smelter Look-up'!$G$4,$V186-4,0))</f>
        <v/>
      </c>
      <c r="I186" s="217" t="str">
        <f ca="1">IF(ISERROR($V186),"",OFFSET('Smelter Look-up'!$H$4,$V186-4,0))</f>
        <v/>
      </c>
      <c r="J186" s="217" t="str">
        <f ca="1">IF(ISERROR($V186),"",OFFSET('Smelter Look-up'!$I$4,$V186-4,0))</f>
        <v/>
      </c>
      <c r="K186" s="268"/>
      <c r="L186" s="268"/>
      <c r="M186" s="268"/>
      <c r="N186" s="268"/>
      <c r="O186" s="268"/>
      <c r="P186" s="218"/>
      <c r="Q186" s="269"/>
      <c r="R186" s="215" t="str">
        <f ca="1">IF(ISERROR($V186),"",OFFSET('Smelter Look-up'!$C$4,$V186-4,0)&amp;"")</f>
        <v/>
      </c>
      <c r="S186" s="222" t="str">
        <f t="shared" ca="1" si="24"/>
        <v/>
      </c>
      <c r="T186" s="222" t="str">
        <f ca="1">IF(B186="","",IF(ISERROR(MATCH($J186,SorP!$B$1:$B$6230,0)),"",INDIRECT("'SorP'!$A$"&amp;MATCH($J186,SorP!$B$1:$B$6230,0))))</f>
        <v/>
      </c>
      <c r="U186" s="238"/>
      <c r="V186" s="270" t="e">
        <f>IF(C186="",NA(),MATCH($B186&amp;$C186,'Smelter Look-up'!$J:$J,0))</f>
        <v>#N/A</v>
      </c>
      <c r="W186" s="271"/>
      <c r="X186" s="271">
        <f t="shared" ca="1" si="25"/>
        <v>0</v>
      </c>
      <c r="Y186" s="271"/>
      <c r="Z186" s="271"/>
      <c r="AB186" s="273" t="str">
        <f t="shared" si="26"/>
        <v/>
      </c>
    </row>
    <row r="187" spans="1:28" s="272" customFormat="1" ht="20.399999999999999">
      <c r="A187" s="214"/>
      <c r="B187" s="215" t="str">
        <f>IF(LEN(A187)=0,"",INDEX('Smelter Look-up'!$A:$A,MATCH($A187,'Smelter Look-up'!$E:$E,0)))</f>
        <v/>
      </c>
      <c r="C187" s="219" t="str">
        <f>IF(LEN(A187)=0,"",INDEX('Smelter Look-up'!$C:$C,MATCH($A187,'Smelter Look-up'!$E:$E,0)))</f>
        <v/>
      </c>
      <c r="D187" s="278"/>
      <c r="E187" s="215" t="str">
        <f ca="1">IF(ISERROR($V187),"",OFFSET('Smelter Look-up'!$D$4,$V187-4,0)&amp;"")</f>
        <v/>
      </c>
      <c r="F187" s="215" t="str">
        <f ca="1">IF(ISERROR($V187),"",OFFSET('Smelter Look-up'!$E$4,$V187-4,0))</f>
        <v/>
      </c>
      <c r="G187" s="215" t="str">
        <f ca="1">IF(C187=$X$4,"Enter smelter details",IF(ISERROR($V187),"",OFFSET('Smelter Look-up'!$F$4,$V187-4,0)))</f>
        <v/>
      </c>
      <c r="H187" s="216" t="str">
        <f ca="1">IF(ISERROR($V187),"",OFFSET('Smelter Look-up'!$G$4,$V187-4,0))</f>
        <v/>
      </c>
      <c r="I187" s="217" t="str">
        <f ca="1">IF(ISERROR($V187),"",OFFSET('Smelter Look-up'!$H$4,$V187-4,0))</f>
        <v/>
      </c>
      <c r="J187" s="217" t="str">
        <f ca="1">IF(ISERROR($V187),"",OFFSET('Smelter Look-up'!$I$4,$V187-4,0))</f>
        <v/>
      </c>
      <c r="K187" s="268"/>
      <c r="L187" s="268"/>
      <c r="M187" s="268"/>
      <c r="N187" s="268"/>
      <c r="O187" s="268"/>
      <c r="P187" s="218"/>
      <c r="Q187" s="269"/>
      <c r="R187" s="215" t="str">
        <f ca="1">IF(ISERROR($V187),"",OFFSET('Smelter Look-up'!$C$4,$V187-4,0)&amp;"")</f>
        <v/>
      </c>
      <c r="S187" s="222" t="str">
        <f t="shared" ca="1" si="24"/>
        <v/>
      </c>
      <c r="T187" s="222" t="str">
        <f ca="1">IF(B187="","",IF(ISERROR(MATCH($J187,SorP!$B$1:$B$6230,0)),"",INDIRECT("'SorP'!$A$"&amp;MATCH($J187,SorP!$B$1:$B$6230,0))))</f>
        <v/>
      </c>
      <c r="U187" s="238"/>
      <c r="V187" s="270" t="e">
        <f>IF(C187="",NA(),MATCH($B187&amp;$C187,'Smelter Look-up'!$J:$J,0))</f>
        <v>#N/A</v>
      </c>
      <c r="W187" s="271"/>
      <c r="X187" s="271">
        <f t="shared" ca="1" si="25"/>
        <v>0</v>
      </c>
      <c r="Y187" s="271"/>
      <c r="Z187" s="271"/>
      <c r="AB187" s="273" t="str">
        <f t="shared" si="26"/>
        <v/>
      </c>
    </row>
    <row r="188" spans="1:28" s="272" customFormat="1" ht="20.399999999999999">
      <c r="A188" s="214"/>
      <c r="B188" s="215" t="str">
        <f>IF(LEN(A188)=0,"",INDEX('Smelter Look-up'!$A:$A,MATCH($A188,'Smelter Look-up'!$E:$E,0)))</f>
        <v/>
      </c>
      <c r="C188" s="219" t="str">
        <f>IF(LEN(A188)=0,"",INDEX('Smelter Look-up'!$C:$C,MATCH($A188,'Smelter Look-up'!$E:$E,0)))</f>
        <v/>
      </c>
      <c r="D188" s="278"/>
      <c r="E188" s="215" t="str">
        <f ca="1">IF(ISERROR($V188),"",OFFSET('Smelter Look-up'!$D$4,$V188-4,0)&amp;"")</f>
        <v/>
      </c>
      <c r="F188" s="215" t="str">
        <f ca="1">IF(ISERROR($V188),"",OFFSET('Smelter Look-up'!$E$4,$V188-4,0))</f>
        <v/>
      </c>
      <c r="G188" s="215" t="str">
        <f ca="1">IF(C188=$X$4,"Enter smelter details",IF(ISERROR($V188),"",OFFSET('Smelter Look-up'!$F$4,$V188-4,0)))</f>
        <v/>
      </c>
      <c r="H188" s="216" t="str">
        <f ca="1">IF(ISERROR($V188),"",OFFSET('Smelter Look-up'!$G$4,$V188-4,0))</f>
        <v/>
      </c>
      <c r="I188" s="217" t="str">
        <f ca="1">IF(ISERROR($V188),"",OFFSET('Smelter Look-up'!$H$4,$V188-4,0))</f>
        <v/>
      </c>
      <c r="J188" s="217" t="str">
        <f ca="1">IF(ISERROR($V188),"",OFFSET('Smelter Look-up'!$I$4,$V188-4,0))</f>
        <v/>
      </c>
      <c r="K188" s="268"/>
      <c r="L188" s="268"/>
      <c r="M188" s="268"/>
      <c r="N188" s="268"/>
      <c r="O188" s="268"/>
      <c r="P188" s="218"/>
      <c r="Q188" s="269"/>
      <c r="R188" s="215" t="str">
        <f ca="1">IF(ISERROR($V188),"",OFFSET('Smelter Look-up'!$C$4,$V188-4,0)&amp;"")</f>
        <v/>
      </c>
      <c r="S188" s="222" t="str">
        <f t="shared" ca="1" si="24"/>
        <v/>
      </c>
      <c r="T188" s="222" t="str">
        <f ca="1">IF(B188="","",IF(ISERROR(MATCH($J188,SorP!$B$1:$B$6230,0)),"",INDIRECT("'SorP'!$A$"&amp;MATCH($J188,SorP!$B$1:$B$6230,0))))</f>
        <v/>
      </c>
      <c r="U188" s="238"/>
      <c r="V188" s="270" t="e">
        <f>IF(C188="",NA(),MATCH($B188&amp;$C188,'Smelter Look-up'!$J:$J,0))</f>
        <v>#N/A</v>
      </c>
      <c r="W188" s="271"/>
      <c r="X188" s="271">
        <f t="shared" ca="1" si="25"/>
        <v>0</v>
      </c>
      <c r="Y188" s="271"/>
      <c r="Z188" s="271"/>
      <c r="AB188" s="273" t="str">
        <f t="shared" si="26"/>
        <v/>
      </c>
    </row>
    <row r="189" spans="1:28" s="272" customFormat="1" ht="20.399999999999999">
      <c r="A189" s="214"/>
      <c r="B189" s="215" t="str">
        <f>IF(LEN(A189)=0,"",INDEX('Smelter Look-up'!$A:$A,MATCH($A189,'Smelter Look-up'!$E:$E,0)))</f>
        <v/>
      </c>
      <c r="C189" s="219" t="str">
        <f>IF(LEN(A189)=0,"",INDEX('Smelter Look-up'!$C:$C,MATCH($A189,'Smelter Look-up'!$E:$E,0)))</f>
        <v/>
      </c>
      <c r="D189" s="278"/>
      <c r="E189" s="215" t="str">
        <f ca="1">IF(ISERROR($V189),"",OFFSET('Smelter Look-up'!$D$4,$V189-4,0)&amp;"")</f>
        <v/>
      </c>
      <c r="F189" s="215" t="str">
        <f ca="1">IF(ISERROR($V189),"",OFFSET('Smelter Look-up'!$E$4,$V189-4,0))</f>
        <v/>
      </c>
      <c r="G189" s="215" t="str">
        <f ca="1">IF(C189=$X$4,"Enter smelter details",IF(ISERROR($V189),"",OFFSET('Smelter Look-up'!$F$4,$V189-4,0)))</f>
        <v/>
      </c>
      <c r="H189" s="216" t="str">
        <f ca="1">IF(ISERROR($V189),"",OFFSET('Smelter Look-up'!$G$4,$V189-4,0))</f>
        <v/>
      </c>
      <c r="I189" s="217" t="str">
        <f ca="1">IF(ISERROR($V189),"",OFFSET('Smelter Look-up'!$H$4,$V189-4,0))</f>
        <v/>
      </c>
      <c r="J189" s="217" t="str">
        <f ca="1">IF(ISERROR($V189),"",OFFSET('Smelter Look-up'!$I$4,$V189-4,0))</f>
        <v/>
      </c>
      <c r="K189" s="268"/>
      <c r="L189" s="268"/>
      <c r="M189" s="268"/>
      <c r="N189" s="268"/>
      <c r="O189" s="268"/>
      <c r="P189" s="218"/>
      <c r="Q189" s="269"/>
      <c r="R189" s="215" t="str">
        <f ca="1">IF(ISERROR($V189),"",OFFSET('Smelter Look-up'!$C$4,$V189-4,0)&amp;"")</f>
        <v/>
      </c>
      <c r="S189" s="222" t="str">
        <f t="shared" ca="1" si="24"/>
        <v/>
      </c>
      <c r="T189" s="222" t="str">
        <f ca="1">IF(B189="","",IF(ISERROR(MATCH($J189,SorP!$B$1:$B$6230,0)),"",INDIRECT("'SorP'!$A$"&amp;MATCH($J189,SorP!$B$1:$B$6230,0))))</f>
        <v/>
      </c>
      <c r="U189" s="238"/>
      <c r="V189" s="270" t="e">
        <f>IF(C189="",NA(),MATCH($B189&amp;$C189,'Smelter Look-up'!$J:$J,0))</f>
        <v>#N/A</v>
      </c>
      <c r="W189" s="271"/>
      <c r="X189" s="271">
        <f t="shared" ca="1" si="25"/>
        <v>0</v>
      </c>
      <c r="Y189" s="271"/>
      <c r="Z189" s="271"/>
      <c r="AB189" s="273" t="str">
        <f t="shared" si="26"/>
        <v/>
      </c>
    </row>
    <row r="190" spans="1:28" s="272" customFormat="1" ht="20.399999999999999">
      <c r="A190" s="214"/>
      <c r="B190" s="215" t="str">
        <f>IF(LEN(A190)=0,"",INDEX('Smelter Look-up'!$A:$A,MATCH($A190,'Smelter Look-up'!$E:$E,0)))</f>
        <v/>
      </c>
      <c r="C190" s="219" t="str">
        <f>IF(LEN(A190)=0,"",INDEX('Smelter Look-up'!$C:$C,MATCH($A190,'Smelter Look-up'!$E:$E,0)))</f>
        <v/>
      </c>
      <c r="D190" s="278"/>
      <c r="E190" s="215" t="str">
        <f ca="1">IF(ISERROR($V190),"",OFFSET('Smelter Look-up'!$D$4,$V190-4,0)&amp;"")</f>
        <v/>
      </c>
      <c r="F190" s="215" t="str">
        <f ca="1">IF(ISERROR($V190),"",OFFSET('Smelter Look-up'!$E$4,$V190-4,0))</f>
        <v/>
      </c>
      <c r="G190" s="215" t="str">
        <f ca="1">IF(C190=$X$4,"Enter smelter details",IF(ISERROR($V190),"",OFFSET('Smelter Look-up'!$F$4,$V190-4,0)))</f>
        <v/>
      </c>
      <c r="H190" s="216" t="str">
        <f ca="1">IF(ISERROR($V190),"",OFFSET('Smelter Look-up'!$G$4,$V190-4,0))</f>
        <v/>
      </c>
      <c r="I190" s="217" t="str">
        <f ca="1">IF(ISERROR($V190),"",OFFSET('Smelter Look-up'!$H$4,$V190-4,0))</f>
        <v/>
      </c>
      <c r="J190" s="217" t="str">
        <f ca="1">IF(ISERROR($V190),"",OFFSET('Smelter Look-up'!$I$4,$V190-4,0))</f>
        <v/>
      </c>
      <c r="K190" s="268"/>
      <c r="L190" s="268"/>
      <c r="M190" s="268"/>
      <c r="N190" s="268"/>
      <c r="O190" s="268"/>
      <c r="P190" s="218"/>
      <c r="Q190" s="269"/>
      <c r="R190" s="215" t="str">
        <f ca="1">IF(ISERROR($V190),"",OFFSET('Smelter Look-up'!$C$4,$V190-4,0)&amp;"")</f>
        <v/>
      </c>
      <c r="S190" s="222" t="str">
        <f t="shared" ca="1" si="24"/>
        <v/>
      </c>
      <c r="T190" s="222" t="str">
        <f ca="1">IF(B190="","",IF(ISERROR(MATCH($J190,SorP!$B$1:$B$6230,0)),"",INDIRECT("'SorP'!$A$"&amp;MATCH($J190,SorP!$B$1:$B$6230,0))))</f>
        <v/>
      </c>
      <c r="U190" s="238"/>
      <c r="V190" s="270" t="e">
        <f>IF(C190="",NA(),MATCH($B190&amp;$C190,'Smelter Look-up'!$J:$J,0))</f>
        <v>#N/A</v>
      </c>
      <c r="W190" s="271"/>
      <c r="X190" s="271">
        <f t="shared" ca="1" si="25"/>
        <v>0</v>
      </c>
      <c r="Y190" s="271"/>
      <c r="Z190" s="271"/>
      <c r="AB190" s="273" t="str">
        <f t="shared" si="26"/>
        <v/>
      </c>
    </row>
    <row r="191" spans="1:28" s="272" customFormat="1" ht="20.399999999999999">
      <c r="A191" s="214"/>
      <c r="B191" s="215" t="str">
        <f>IF(LEN(A191)=0,"",INDEX('Smelter Look-up'!$A:$A,MATCH($A191,'Smelter Look-up'!$E:$E,0)))</f>
        <v/>
      </c>
      <c r="C191" s="219" t="str">
        <f>IF(LEN(A191)=0,"",INDEX('Smelter Look-up'!$C:$C,MATCH($A191,'Smelter Look-up'!$E:$E,0)))</f>
        <v/>
      </c>
      <c r="D191" s="278"/>
      <c r="E191" s="215" t="str">
        <f ca="1">IF(ISERROR($V191),"",OFFSET('Smelter Look-up'!$D$4,$V191-4,0)&amp;"")</f>
        <v/>
      </c>
      <c r="F191" s="215" t="str">
        <f ca="1">IF(ISERROR($V191),"",OFFSET('Smelter Look-up'!$E$4,$V191-4,0))</f>
        <v/>
      </c>
      <c r="G191" s="215" t="str">
        <f ca="1">IF(C191=$X$4,"Enter smelter details",IF(ISERROR($V191),"",OFFSET('Smelter Look-up'!$F$4,$V191-4,0)))</f>
        <v/>
      </c>
      <c r="H191" s="216" t="str">
        <f ca="1">IF(ISERROR($V191),"",OFFSET('Smelter Look-up'!$G$4,$V191-4,0))</f>
        <v/>
      </c>
      <c r="I191" s="217" t="str">
        <f ca="1">IF(ISERROR($V191),"",OFFSET('Smelter Look-up'!$H$4,$V191-4,0))</f>
        <v/>
      </c>
      <c r="J191" s="217" t="str">
        <f ca="1">IF(ISERROR($V191),"",OFFSET('Smelter Look-up'!$I$4,$V191-4,0))</f>
        <v/>
      </c>
      <c r="K191" s="268"/>
      <c r="L191" s="268"/>
      <c r="M191" s="268"/>
      <c r="N191" s="268"/>
      <c r="O191" s="268"/>
      <c r="P191" s="218"/>
      <c r="Q191" s="269"/>
      <c r="R191" s="215" t="str">
        <f ca="1">IF(ISERROR($V191),"",OFFSET('Smelter Look-up'!$C$4,$V191-4,0)&amp;"")</f>
        <v/>
      </c>
      <c r="S191" s="222" t="str">
        <f t="shared" ca="1" si="24"/>
        <v/>
      </c>
      <c r="T191" s="222" t="str">
        <f ca="1">IF(B191="","",IF(ISERROR(MATCH($J191,SorP!$B$1:$B$6230,0)),"",INDIRECT("'SorP'!$A$"&amp;MATCH($J191,SorP!$B$1:$B$6230,0))))</f>
        <v/>
      </c>
      <c r="U191" s="238"/>
      <c r="V191" s="270" t="e">
        <f>IF(C191="",NA(),MATCH($B191&amp;$C191,'Smelter Look-up'!$J:$J,0))</f>
        <v>#N/A</v>
      </c>
      <c r="W191" s="271"/>
      <c r="X191" s="271">
        <f t="shared" ca="1" si="25"/>
        <v>0</v>
      </c>
      <c r="Y191" s="271"/>
      <c r="Z191" s="271"/>
      <c r="AB191" s="273" t="str">
        <f t="shared" si="26"/>
        <v/>
      </c>
    </row>
    <row r="192" spans="1:28" s="272" customFormat="1" ht="20.399999999999999">
      <c r="A192" s="214"/>
      <c r="B192" s="215" t="str">
        <f>IF(LEN(A192)=0,"",INDEX('Smelter Look-up'!$A:$A,MATCH($A192,'Smelter Look-up'!$E:$E,0)))</f>
        <v/>
      </c>
      <c r="C192" s="219" t="str">
        <f>IF(LEN(A192)=0,"",INDEX('Smelter Look-up'!$C:$C,MATCH($A192,'Smelter Look-up'!$E:$E,0)))</f>
        <v/>
      </c>
      <c r="D192" s="278"/>
      <c r="E192" s="215" t="str">
        <f ca="1">IF(ISERROR($V192),"",OFFSET('Smelter Look-up'!$D$4,$V192-4,0)&amp;"")</f>
        <v/>
      </c>
      <c r="F192" s="215" t="str">
        <f ca="1">IF(ISERROR($V192),"",OFFSET('Smelter Look-up'!$E$4,$V192-4,0))</f>
        <v/>
      </c>
      <c r="G192" s="215" t="str">
        <f ca="1">IF(C192=$X$4,"Enter smelter details",IF(ISERROR($V192),"",OFFSET('Smelter Look-up'!$F$4,$V192-4,0)))</f>
        <v/>
      </c>
      <c r="H192" s="216" t="str">
        <f ca="1">IF(ISERROR($V192),"",OFFSET('Smelter Look-up'!$G$4,$V192-4,0))</f>
        <v/>
      </c>
      <c r="I192" s="217" t="str">
        <f ca="1">IF(ISERROR($V192),"",OFFSET('Smelter Look-up'!$H$4,$V192-4,0))</f>
        <v/>
      </c>
      <c r="J192" s="217" t="str">
        <f ca="1">IF(ISERROR($V192),"",OFFSET('Smelter Look-up'!$I$4,$V192-4,0))</f>
        <v/>
      </c>
      <c r="K192" s="268"/>
      <c r="L192" s="268"/>
      <c r="M192" s="268"/>
      <c r="N192" s="268"/>
      <c r="O192" s="268"/>
      <c r="P192" s="218"/>
      <c r="Q192" s="269"/>
      <c r="R192" s="215" t="str">
        <f ca="1">IF(ISERROR($V192),"",OFFSET('Smelter Look-up'!$C$4,$V192-4,0)&amp;"")</f>
        <v/>
      </c>
      <c r="S192" s="222" t="str">
        <f t="shared" ca="1" si="24"/>
        <v/>
      </c>
      <c r="T192" s="222" t="str">
        <f ca="1">IF(B192="","",IF(ISERROR(MATCH($J192,SorP!$B$1:$B$6230,0)),"",INDIRECT("'SorP'!$A$"&amp;MATCH($J192,SorP!$B$1:$B$6230,0))))</f>
        <v/>
      </c>
      <c r="U192" s="238"/>
      <c r="V192" s="270" t="e">
        <f>IF(C192="",NA(),MATCH($B192&amp;$C192,'Smelter Look-up'!$J:$J,0))</f>
        <v>#N/A</v>
      </c>
      <c r="W192" s="271"/>
      <c r="X192" s="271">
        <f t="shared" ca="1" si="25"/>
        <v>0</v>
      </c>
      <c r="Y192" s="271"/>
      <c r="Z192" s="271"/>
      <c r="AB192" s="273" t="str">
        <f t="shared" si="26"/>
        <v/>
      </c>
    </row>
    <row r="193" spans="1:28" s="272" customFormat="1" ht="20.399999999999999">
      <c r="A193" s="214"/>
      <c r="B193" s="215" t="str">
        <f>IF(LEN(A193)=0,"",INDEX('Smelter Look-up'!$A:$A,MATCH($A193,'Smelter Look-up'!$E:$E,0)))</f>
        <v/>
      </c>
      <c r="C193" s="219" t="str">
        <f>IF(LEN(A193)=0,"",INDEX('Smelter Look-up'!$C:$C,MATCH($A193,'Smelter Look-up'!$E:$E,0)))</f>
        <v/>
      </c>
      <c r="D193" s="278"/>
      <c r="E193" s="215" t="str">
        <f ca="1">IF(ISERROR($V193),"",OFFSET('Smelter Look-up'!$D$4,$V193-4,0)&amp;"")</f>
        <v/>
      </c>
      <c r="F193" s="215" t="str">
        <f ca="1">IF(ISERROR($V193),"",OFFSET('Smelter Look-up'!$E$4,$V193-4,0))</f>
        <v/>
      </c>
      <c r="G193" s="215" t="str">
        <f ca="1">IF(C193=$X$4,"Enter smelter details",IF(ISERROR($V193),"",OFFSET('Smelter Look-up'!$F$4,$V193-4,0)))</f>
        <v/>
      </c>
      <c r="H193" s="216" t="str">
        <f ca="1">IF(ISERROR($V193),"",OFFSET('Smelter Look-up'!$G$4,$V193-4,0))</f>
        <v/>
      </c>
      <c r="I193" s="217" t="str">
        <f ca="1">IF(ISERROR($V193),"",OFFSET('Smelter Look-up'!$H$4,$V193-4,0))</f>
        <v/>
      </c>
      <c r="J193" s="217" t="str">
        <f ca="1">IF(ISERROR($V193),"",OFFSET('Smelter Look-up'!$I$4,$V193-4,0))</f>
        <v/>
      </c>
      <c r="K193" s="268"/>
      <c r="L193" s="268"/>
      <c r="M193" s="268"/>
      <c r="N193" s="268"/>
      <c r="O193" s="268"/>
      <c r="P193" s="218"/>
      <c r="Q193" s="269"/>
      <c r="R193" s="215" t="str">
        <f ca="1">IF(ISERROR($V193),"",OFFSET('Smelter Look-up'!$C$4,$V193-4,0)&amp;"")</f>
        <v/>
      </c>
      <c r="S193" s="222" t="str">
        <f t="shared" ca="1" si="24"/>
        <v/>
      </c>
      <c r="T193" s="222" t="str">
        <f ca="1">IF(B193="","",IF(ISERROR(MATCH($J193,SorP!$B$1:$B$6230,0)),"",INDIRECT("'SorP'!$A$"&amp;MATCH($J193,SorP!$B$1:$B$6230,0))))</f>
        <v/>
      </c>
      <c r="U193" s="238"/>
      <c r="V193" s="270" t="e">
        <f>IF(C193="",NA(),MATCH($B193&amp;$C193,'Smelter Look-up'!$J:$J,0))</f>
        <v>#N/A</v>
      </c>
      <c r="W193" s="271"/>
      <c r="X193" s="271">
        <f t="shared" ca="1" si="25"/>
        <v>0</v>
      </c>
      <c r="Y193" s="271"/>
      <c r="Z193" s="271"/>
      <c r="AB193" s="273" t="str">
        <f t="shared" si="26"/>
        <v/>
      </c>
    </row>
    <row r="194" spans="1:28" s="272" customFormat="1" ht="20.399999999999999">
      <c r="A194" s="214"/>
      <c r="B194" s="215" t="str">
        <f>IF(LEN(A194)=0,"",INDEX('Smelter Look-up'!$A:$A,MATCH($A194,'Smelter Look-up'!$E:$E,0)))</f>
        <v/>
      </c>
      <c r="C194" s="219" t="str">
        <f>IF(LEN(A194)=0,"",INDEX('Smelter Look-up'!$C:$C,MATCH($A194,'Smelter Look-up'!$E:$E,0)))</f>
        <v/>
      </c>
      <c r="D194" s="278"/>
      <c r="E194" s="215" t="str">
        <f ca="1">IF(ISERROR($V194),"",OFFSET('Smelter Look-up'!$D$4,$V194-4,0)&amp;"")</f>
        <v/>
      </c>
      <c r="F194" s="215" t="str">
        <f ca="1">IF(ISERROR($V194),"",OFFSET('Smelter Look-up'!$E$4,$V194-4,0))</f>
        <v/>
      </c>
      <c r="G194" s="215" t="str">
        <f ca="1">IF(C194=$X$4,"Enter smelter details",IF(ISERROR($V194),"",OFFSET('Smelter Look-up'!$F$4,$V194-4,0)))</f>
        <v/>
      </c>
      <c r="H194" s="216" t="str">
        <f ca="1">IF(ISERROR($V194),"",OFFSET('Smelter Look-up'!$G$4,$V194-4,0))</f>
        <v/>
      </c>
      <c r="I194" s="217" t="str">
        <f ca="1">IF(ISERROR($V194),"",OFFSET('Smelter Look-up'!$H$4,$V194-4,0))</f>
        <v/>
      </c>
      <c r="J194" s="217" t="str">
        <f ca="1">IF(ISERROR($V194),"",OFFSET('Smelter Look-up'!$I$4,$V194-4,0))</f>
        <v/>
      </c>
      <c r="K194" s="268"/>
      <c r="L194" s="268"/>
      <c r="M194" s="268"/>
      <c r="N194" s="268"/>
      <c r="O194" s="268"/>
      <c r="P194" s="218"/>
      <c r="Q194" s="269"/>
      <c r="R194" s="215" t="str">
        <f ca="1">IF(ISERROR($V194),"",OFFSET('Smelter Look-up'!$C$4,$V194-4,0)&amp;"")</f>
        <v/>
      </c>
      <c r="S194" s="222" t="str">
        <f t="shared" ca="1" si="24"/>
        <v/>
      </c>
      <c r="T194" s="222" t="str">
        <f ca="1">IF(B194="","",IF(ISERROR(MATCH($J194,SorP!$B$1:$B$6230,0)),"",INDIRECT("'SorP'!$A$"&amp;MATCH($J194,SorP!$B$1:$B$6230,0))))</f>
        <v/>
      </c>
      <c r="U194" s="238"/>
      <c r="V194" s="270" t="e">
        <f>IF(C194="",NA(),MATCH($B194&amp;$C194,'Smelter Look-up'!$J:$J,0))</f>
        <v>#N/A</v>
      </c>
      <c r="W194" s="271"/>
      <c r="X194" s="271">
        <f t="shared" ca="1" si="25"/>
        <v>0</v>
      </c>
      <c r="Y194" s="271"/>
      <c r="Z194" s="271"/>
      <c r="AB194" s="273" t="str">
        <f t="shared" si="26"/>
        <v/>
      </c>
    </row>
    <row r="195" spans="1:28" s="272" customFormat="1" ht="20.399999999999999">
      <c r="A195" s="214"/>
      <c r="B195" s="215" t="str">
        <f>IF(LEN(A195)=0,"",INDEX('Smelter Look-up'!$A:$A,MATCH($A195,'Smelter Look-up'!$E:$E,0)))</f>
        <v/>
      </c>
      <c r="C195" s="219" t="str">
        <f>IF(LEN(A195)=0,"",INDEX('Smelter Look-up'!$C:$C,MATCH($A195,'Smelter Look-up'!$E:$E,0)))</f>
        <v/>
      </c>
      <c r="D195" s="278"/>
      <c r="E195" s="215" t="str">
        <f ca="1">IF(ISERROR($V195),"",OFFSET('Smelter Look-up'!$D$4,$V195-4,0)&amp;"")</f>
        <v/>
      </c>
      <c r="F195" s="215" t="str">
        <f ca="1">IF(ISERROR($V195),"",OFFSET('Smelter Look-up'!$E$4,$V195-4,0))</f>
        <v/>
      </c>
      <c r="G195" s="215" t="str">
        <f ca="1">IF(C195=$X$4,"Enter smelter details",IF(ISERROR($V195),"",OFFSET('Smelter Look-up'!$F$4,$V195-4,0)))</f>
        <v/>
      </c>
      <c r="H195" s="216" t="str">
        <f ca="1">IF(ISERROR($V195),"",OFFSET('Smelter Look-up'!$G$4,$V195-4,0))</f>
        <v/>
      </c>
      <c r="I195" s="217" t="str">
        <f ca="1">IF(ISERROR($V195),"",OFFSET('Smelter Look-up'!$H$4,$V195-4,0))</f>
        <v/>
      </c>
      <c r="J195" s="217" t="str">
        <f ca="1">IF(ISERROR($V195),"",OFFSET('Smelter Look-up'!$I$4,$V195-4,0))</f>
        <v/>
      </c>
      <c r="K195" s="268"/>
      <c r="L195" s="268"/>
      <c r="M195" s="268"/>
      <c r="N195" s="268"/>
      <c r="O195" s="268"/>
      <c r="P195" s="218"/>
      <c r="Q195" s="269"/>
      <c r="R195" s="215" t="str">
        <f ca="1">IF(ISERROR($V195),"",OFFSET('Smelter Look-up'!$C$4,$V195-4,0)&amp;"")</f>
        <v/>
      </c>
      <c r="S195" s="222" t="str">
        <f t="shared" ca="1" si="24"/>
        <v/>
      </c>
      <c r="T195" s="222" t="str">
        <f ca="1">IF(B195="","",IF(ISERROR(MATCH($J195,SorP!$B$1:$B$6230,0)),"",INDIRECT("'SorP'!$A$"&amp;MATCH($J195,SorP!$B$1:$B$6230,0))))</f>
        <v/>
      </c>
      <c r="U195" s="238"/>
      <c r="V195" s="270" t="e">
        <f>IF(C195="",NA(),MATCH($B195&amp;$C195,'Smelter Look-up'!$J:$J,0))</f>
        <v>#N/A</v>
      </c>
      <c r="W195" s="271"/>
      <c r="X195" s="271">
        <f t="shared" ca="1" si="25"/>
        <v>0</v>
      </c>
      <c r="Y195" s="271"/>
      <c r="Z195" s="271"/>
      <c r="AB195" s="273" t="str">
        <f t="shared" si="26"/>
        <v/>
      </c>
    </row>
    <row r="196" spans="1:28" s="272" customFormat="1" ht="20.399999999999999">
      <c r="A196" s="214"/>
      <c r="B196" s="215" t="str">
        <f>IF(LEN(A196)=0,"",INDEX('Smelter Look-up'!$A:$A,MATCH($A196,'Smelter Look-up'!$E:$E,0)))</f>
        <v/>
      </c>
      <c r="C196" s="219" t="str">
        <f>IF(LEN(A196)=0,"",INDEX('Smelter Look-up'!$C:$C,MATCH($A196,'Smelter Look-up'!$E:$E,0)))</f>
        <v/>
      </c>
      <c r="D196" s="278"/>
      <c r="E196" s="215" t="str">
        <f ca="1">IF(ISERROR($V196),"",OFFSET('Smelter Look-up'!$D$4,$V196-4,0)&amp;"")</f>
        <v/>
      </c>
      <c r="F196" s="215" t="str">
        <f ca="1">IF(ISERROR($V196),"",OFFSET('Smelter Look-up'!$E$4,$V196-4,0))</f>
        <v/>
      </c>
      <c r="G196" s="215" t="str">
        <f ca="1">IF(C196=$X$4,"Enter smelter details",IF(ISERROR($V196),"",OFFSET('Smelter Look-up'!$F$4,$V196-4,0)))</f>
        <v/>
      </c>
      <c r="H196" s="216" t="str">
        <f ca="1">IF(ISERROR($V196),"",OFFSET('Smelter Look-up'!$G$4,$V196-4,0))</f>
        <v/>
      </c>
      <c r="I196" s="217" t="str">
        <f ca="1">IF(ISERROR($V196),"",OFFSET('Smelter Look-up'!$H$4,$V196-4,0))</f>
        <v/>
      </c>
      <c r="J196" s="217" t="str">
        <f ca="1">IF(ISERROR($V196),"",OFFSET('Smelter Look-up'!$I$4,$V196-4,0))</f>
        <v/>
      </c>
      <c r="K196" s="268"/>
      <c r="L196" s="268"/>
      <c r="M196" s="268"/>
      <c r="N196" s="268"/>
      <c r="O196" s="268"/>
      <c r="P196" s="218"/>
      <c r="Q196" s="269"/>
      <c r="R196" s="215" t="str">
        <f ca="1">IF(ISERROR($V196),"",OFFSET('Smelter Look-up'!$C$4,$V196-4,0)&amp;"")</f>
        <v/>
      </c>
      <c r="S196" s="222" t="str">
        <f t="shared" ca="1" si="24"/>
        <v/>
      </c>
      <c r="T196" s="222" t="str">
        <f ca="1">IF(B196="","",IF(ISERROR(MATCH($J196,SorP!$B$1:$B$6230,0)),"",INDIRECT("'SorP'!$A$"&amp;MATCH($J196,SorP!$B$1:$B$6230,0))))</f>
        <v/>
      </c>
      <c r="U196" s="238"/>
      <c r="V196" s="270" t="e">
        <f>IF(C196="",NA(),MATCH($B196&amp;$C196,'Smelter Look-up'!$J:$J,0))</f>
        <v>#N/A</v>
      </c>
      <c r="W196" s="271"/>
      <c r="X196" s="271">
        <f t="shared" ca="1" si="25"/>
        <v>0</v>
      </c>
      <c r="Y196" s="271"/>
      <c r="Z196" s="271"/>
      <c r="AB196" s="273" t="str">
        <f t="shared" si="26"/>
        <v/>
      </c>
    </row>
    <row r="197" spans="1:28" s="272" customFormat="1" ht="20.399999999999999">
      <c r="A197" s="214"/>
      <c r="B197" s="215" t="str">
        <f>IF(LEN(A197)=0,"",INDEX('Smelter Look-up'!$A:$A,MATCH($A197,'Smelter Look-up'!$E:$E,0)))</f>
        <v/>
      </c>
      <c r="C197" s="219" t="str">
        <f>IF(LEN(A197)=0,"",INDEX('Smelter Look-up'!$C:$C,MATCH($A197,'Smelter Look-up'!$E:$E,0)))</f>
        <v/>
      </c>
      <c r="D197" s="278"/>
      <c r="E197" s="215" t="str">
        <f ca="1">IF(ISERROR($V197),"",OFFSET('Smelter Look-up'!$D$4,$V197-4,0)&amp;"")</f>
        <v/>
      </c>
      <c r="F197" s="215" t="str">
        <f ca="1">IF(ISERROR($V197),"",OFFSET('Smelter Look-up'!$E$4,$V197-4,0))</f>
        <v/>
      </c>
      <c r="G197" s="215" t="str">
        <f ca="1">IF(C197=$X$4,"Enter smelter details",IF(ISERROR($V197),"",OFFSET('Smelter Look-up'!$F$4,$V197-4,0)))</f>
        <v/>
      </c>
      <c r="H197" s="216" t="str">
        <f ca="1">IF(ISERROR($V197),"",OFFSET('Smelter Look-up'!$G$4,$V197-4,0))</f>
        <v/>
      </c>
      <c r="I197" s="217" t="str">
        <f ca="1">IF(ISERROR($V197),"",OFFSET('Smelter Look-up'!$H$4,$V197-4,0))</f>
        <v/>
      </c>
      <c r="J197" s="217" t="str">
        <f ca="1">IF(ISERROR($V197),"",OFFSET('Smelter Look-up'!$I$4,$V197-4,0))</f>
        <v/>
      </c>
      <c r="K197" s="268"/>
      <c r="L197" s="268"/>
      <c r="M197" s="268"/>
      <c r="N197" s="268"/>
      <c r="O197" s="268"/>
      <c r="P197" s="218"/>
      <c r="Q197" s="269"/>
      <c r="R197" s="215" t="str">
        <f ca="1">IF(ISERROR($V197),"",OFFSET('Smelter Look-up'!$C$4,$V197-4,0)&amp;"")</f>
        <v/>
      </c>
      <c r="S197" s="222" t="str">
        <f t="shared" ref="S197" ca="1" si="27">IF(B197="","",IF(ISERROR(MATCH($E197,CL,0)),"Unknown",INDIRECT("'C'!$A$"&amp;MATCH($E197,CL,0)+1)))</f>
        <v/>
      </c>
      <c r="T197" s="222" t="str">
        <f ca="1">IF(B197="","",IF(ISERROR(MATCH($J197,SorP!$B$1:$B$6230,0)),"",INDIRECT("'SorP'!$A$"&amp;MATCH($J197,SorP!$B$1:$B$6230,0))))</f>
        <v/>
      </c>
      <c r="U197" s="238"/>
      <c r="V197" s="270" t="e">
        <f>IF(C197="",NA(),MATCH($B197&amp;$C197,'Smelter Look-up'!$J:$J,0))</f>
        <v>#N/A</v>
      </c>
      <c r="W197" s="271"/>
      <c r="X197" s="271">
        <f t="shared" ref="X197" ca="1" si="28">IF(AND(C197="Smelter not listed",OR(LEN(D197)=0,LEN(E197)=0)),1,0)</f>
        <v>0</v>
      </c>
      <c r="Y197" s="271"/>
      <c r="Z197" s="271"/>
      <c r="AB197" s="273" t="str">
        <f t="shared" ref="AB197" si="29">B197&amp;C197</f>
        <v/>
      </c>
    </row>
    <row r="198" spans="1:28" s="272" customFormat="1" ht="20.399999999999999">
      <c r="A198" s="214"/>
      <c r="B198" s="215" t="str">
        <f>IF(LEN(A198)=0,"",INDEX('Smelter Look-up'!$A:$A,MATCH($A198,'Smelter Look-up'!$E:$E,0)))</f>
        <v/>
      </c>
      <c r="C198" s="219" t="str">
        <f>IF(LEN(A198)=0,"",INDEX('Smelter Look-up'!$C:$C,MATCH($A198,'Smelter Look-up'!$E:$E,0)))</f>
        <v/>
      </c>
      <c r="D198" s="278"/>
      <c r="E198" s="215" t="str">
        <f ca="1">IF(ISERROR($V198),"",OFFSET('Smelter Look-up'!$D$4,$V198-4,0)&amp;"")</f>
        <v/>
      </c>
      <c r="F198" s="215" t="str">
        <f ca="1">IF(ISERROR($V198),"",OFFSET('Smelter Look-up'!$E$4,$V198-4,0))</f>
        <v/>
      </c>
      <c r="G198" s="215" t="str">
        <f ca="1">IF(C198=$X$4,"Enter smelter details",IF(ISERROR($V198),"",OFFSET('Smelter Look-up'!$F$4,$V198-4,0)))</f>
        <v/>
      </c>
      <c r="H198" s="216" t="str">
        <f ca="1">IF(ISERROR($V198),"",OFFSET('Smelter Look-up'!$G$4,$V198-4,0))</f>
        <v/>
      </c>
      <c r="I198" s="217" t="str">
        <f ca="1">IF(ISERROR($V198),"",OFFSET('Smelter Look-up'!$H$4,$V198-4,0))</f>
        <v/>
      </c>
      <c r="J198" s="217" t="str">
        <f ca="1">IF(ISERROR($V198),"",OFFSET('Smelter Look-up'!$I$4,$V198-4,0))</f>
        <v/>
      </c>
      <c r="K198" s="268"/>
      <c r="L198" s="268"/>
      <c r="M198" s="268"/>
      <c r="N198" s="268"/>
      <c r="O198" s="268"/>
      <c r="P198" s="218"/>
      <c r="Q198" s="269"/>
      <c r="R198" s="215" t="str">
        <f ca="1">IF(ISERROR($V198),"",OFFSET('Smelter Look-up'!$C$4,$V198-4,0)&amp;"")</f>
        <v/>
      </c>
      <c r="S198" s="222" t="str">
        <f t="shared" ref="S198:S229" ca="1" si="30">IF(B198="","",IF(ISERROR(MATCH($E198,CL,0)),"Unknown",INDIRECT("'C'!$A$"&amp;MATCH($E198,CL,0)+1)))</f>
        <v/>
      </c>
      <c r="T198" s="222" t="str">
        <f ca="1">IF(B198="","",IF(ISERROR(MATCH($J198,SorP!$B$1:$B$6230,0)),"",INDIRECT("'SorP'!$A$"&amp;MATCH($J198,SorP!$B$1:$B$6230,0))))</f>
        <v/>
      </c>
      <c r="U198" s="238"/>
      <c r="V198" s="270" t="e">
        <f>IF(C198="",NA(),MATCH($B198&amp;$C198,'Smelter Look-up'!$J:$J,0))</f>
        <v>#N/A</v>
      </c>
      <c r="W198" s="271"/>
      <c r="X198" s="271">
        <f t="shared" ref="X198:X229" ca="1" si="31">IF(AND(C198="Smelter not listed",OR(LEN(D198)=0,LEN(E198)=0)),1,0)</f>
        <v>0</v>
      </c>
      <c r="Y198" s="271"/>
      <c r="Z198" s="271"/>
      <c r="AB198" s="273" t="str">
        <f t="shared" ref="AB198:AB229" si="32">B198&amp;C198</f>
        <v/>
      </c>
    </row>
    <row r="199" spans="1:28" s="272" customFormat="1" ht="20.399999999999999">
      <c r="A199" s="214"/>
      <c r="B199" s="215" t="str">
        <f>IF(LEN(A199)=0,"",INDEX('Smelter Look-up'!$A:$A,MATCH($A199,'Smelter Look-up'!$E:$E,0)))</f>
        <v/>
      </c>
      <c r="C199" s="219" t="str">
        <f>IF(LEN(A199)=0,"",INDEX('Smelter Look-up'!$C:$C,MATCH($A199,'Smelter Look-up'!$E:$E,0)))</f>
        <v/>
      </c>
      <c r="D199" s="278"/>
      <c r="E199" s="215" t="str">
        <f ca="1">IF(ISERROR($V199),"",OFFSET('Smelter Look-up'!$D$4,$V199-4,0)&amp;"")</f>
        <v/>
      </c>
      <c r="F199" s="215" t="str">
        <f ca="1">IF(ISERROR($V199),"",OFFSET('Smelter Look-up'!$E$4,$V199-4,0))</f>
        <v/>
      </c>
      <c r="G199" s="215" t="str">
        <f ca="1">IF(C199=$X$4,"Enter smelter details",IF(ISERROR($V199),"",OFFSET('Smelter Look-up'!$F$4,$V199-4,0)))</f>
        <v/>
      </c>
      <c r="H199" s="216" t="str">
        <f ca="1">IF(ISERROR($V199),"",OFFSET('Smelter Look-up'!$G$4,$V199-4,0))</f>
        <v/>
      </c>
      <c r="I199" s="217" t="str">
        <f ca="1">IF(ISERROR($V199),"",OFFSET('Smelter Look-up'!$H$4,$V199-4,0))</f>
        <v/>
      </c>
      <c r="J199" s="217" t="str">
        <f ca="1">IF(ISERROR($V199),"",OFFSET('Smelter Look-up'!$I$4,$V199-4,0))</f>
        <v/>
      </c>
      <c r="K199" s="268"/>
      <c r="L199" s="268"/>
      <c r="M199" s="268"/>
      <c r="N199" s="268"/>
      <c r="O199" s="268"/>
      <c r="P199" s="218"/>
      <c r="Q199" s="269"/>
      <c r="R199" s="215" t="str">
        <f ca="1">IF(ISERROR($V199),"",OFFSET('Smelter Look-up'!$C$4,$V199-4,0)&amp;"")</f>
        <v/>
      </c>
      <c r="S199" s="222" t="str">
        <f t="shared" ca="1" si="30"/>
        <v/>
      </c>
      <c r="T199" s="222" t="str">
        <f ca="1">IF(B199="","",IF(ISERROR(MATCH($J199,SorP!$B$1:$B$6230,0)),"",INDIRECT("'SorP'!$A$"&amp;MATCH($J199,SorP!$B$1:$B$6230,0))))</f>
        <v/>
      </c>
      <c r="U199" s="238"/>
      <c r="V199" s="270" t="e">
        <f>IF(C199="",NA(),MATCH($B199&amp;$C199,'Smelter Look-up'!$J:$J,0))</f>
        <v>#N/A</v>
      </c>
      <c r="W199" s="271"/>
      <c r="X199" s="271">
        <f t="shared" ca="1" si="31"/>
        <v>0</v>
      </c>
      <c r="Y199" s="271"/>
      <c r="Z199" s="271"/>
      <c r="AB199" s="273" t="str">
        <f t="shared" si="32"/>
        <v/>
      </c>
    </row>
    <row r="200" spans="1:28" s="272" customFormat="1" ht="20.399999999999999">
      <c r="A200" s="214"/>
      <c r="B200" s="215" t="str">
        <f>IF(LEN(A200)=0,"",INDEX('Smelter Look-up'!$A:$A,MATCH($A200,'Smelter Look-up'!$E:$E,0)))</f>
        <v/>
      </c>
      <c r="C200" s="219" t="str">
        <f>IF(LEN(A200)=0,"",INDEX('Smelter Look-up'!$C:$C,MATCH($A200,'Smelter Look-up'!$E:$E,0)))</f>
        <v/>
      </c>
      <c r="D200" s="278"/>
      <c r="E200" s="215" t="str">
        <f ca="1">IF(ISERROR($V200),"",OFFSET('Smelter Look-up'!$D$4,$V200-4,0)&amp;"")</f>
        <v/>
      </c>
      <c r="F200" s="215" t="str">
        <f ca="1">IF(ISERROR($V200),"",OFFSET('Smelter Look-up'!$E$4,$V200-4,0))</f>
        <v/>
      </c>
      <c r="G200" s="215" t="str">
        <f ca="1">IF(C200=$X$4,"Enter smelter details",IF(ISERROR($V200),"",OFFSET('Smelter Look-up'!$F$4,$V200-4,0)))</f>
        <v/>
      </c>
      <c r="H200" s="216" t="str">
        <f ca="1">IF(ISERROR($V200),"",OFFSET('Smelter Look-up'!$G$4,$V200-4,0))</f>
        <v/>
      </c>
      <c r="I200" s="217" t="str">
        <f ca="1">IF(ISERROR($V200),"",OFFSET('Smelter Look-up'!$H$4,$V200-4,0))</f>
        <v/>
      </c>
      <c r="J200" s="217" t="str">
        <f ca="1">IF(ISERROR($V200),"",OFFSET('Smelter Look-up'!$I$4,$V200-4,0))</f>
        <v/>
      </c>
      <c r="K200" s="268"/>
      <c r="L200" s="268"/>
      <c r="M200" s="268"/>
      <c r="N200" s="268"/>
      <c r="O200" s="268"/>
      <c r="P200" s="218"/>
      <c r="Q200" s="269"/>
      <c r="R200" s="215" t="str">
        <f ca="1">IF(ISERROR($V200),"",OFFSET('Smelter Look-up'!$C$4,$V200-4,0)&amp;"")</f>
        <v/>
      </c>
      <c r="S200" s="222" t="str">
        <f t="shared" ca="1" si="30"/>
        <v/>
      </c>
      <c r="T200" s="222" t="str">
        <f ca="1">IF(B200="","",IF(ISERROR(MATCH($J200,SorP!$B$1:$B$6230,0)),"",INDIRECT("'SorP'!$A$"&amp;MATCH($J200,SorP!$B$1:$B$6230,0))))</f>
        <v/>
      </c>
      <c r="U200" s="238"/>
      <c r="V200" s="270" t="e">
        <f>IF(C200="",NA(),MATCH($B200&amp;$C200,'Smelter Look-up'!$J:$J,0))</f>
        <v>#N/A</v>
      </c>
      <c r="W200" s="271"/>
      <c r="X200" s="271">
        <f t="shared" ca="1" si="31"/>
        <v>0</v>
      </c>
      <c r="Y200" s="271"/>
      <c r="Z200" s="271"/>
      <c r="AB200" s="273" t="str">
        <f t="shared" si="32"/>
        <v/>
      </c>
    </row>
    <row r="201" spans="1:28" s="272" customFormat="1" ht="20.399999999999999">
      <c r="A201" s="214"/>
      <c r="B201" s="215" t="str">
        <f>IF(LEN(A201)=0,"",INDEX('Smelter Look-up'!$A:$A,MATCH($A201,'Smelter Look-up'!$E:$E,0)))</f>
        <v/>
      </c>
      <c r="C201" s="219" t="str">
        <f>IF(LEN(A201)=0,"",INDEX('Smelter Look-up'!$C:$C,MATCH($A201,'Smelter Look-up'!$E:$E,0)))</f>
        <v/>
      </c>
      <c r="D201" s="278"/>
      <c r="E201" s="215" t="str">
        <f ca="1">IF(ISERROR($V201),"",OFFSET('Smelter Look-up'!$D$4,$V201-4,0)&amp;"")</f>
        <v/>
      </c>
      <c r="F201" s="215" t="str">
        <f ca="1">IF(ISERROR($V201),"",OFFSET('Smelter Look-up'!$E$4,$V201-4,0))</f>
        <v/>
      </c>
      <c r="G201" s="215" t="str">
        <f ca="1">IF(C201=$X$4,"Enter smelter details",IF(ISERROR($V201),"",OFFSET('Smelter Look-up'!$F$4,$V201-4,0)))</f>
        <v/>
      </c>
      <c r="H201" s="216" t="str">
        <f ca="1">IF(ISERROR($V201),"",OFFSET('Smelter Look-up'!$G$4,$V201-4,0))</f>
        <v/>
      </c>
      <c r="I201" s="217" t="str">
        <f ca="1">IF(ISERROR($V201),"",OFFSET('Smelter Look-up'!$H$4,$V201-4,0))</f>
        <v/>
      </c>
      <c r="J201" s="217" t="str">
        <f ca="1">IF(ISERROR($V201),"",OFFSET('Smelter Look-up'!$I$4,$V201-4,0))</f>
        <v/>
      </c>
      <c r="K201" s="268"/>
      <c r="L201" s="268"/>
      <c r="M201" s="268"/>
      <c r="N201" s="268"/>
      <c r="O201" s="268"/>
      <c r="P201" s="218"/>
      <c r="Q201" s="269"/>
      <c r="R201" s="215" t="str">
        <f ca="1">IF(ISERROR($V201),"",OFFSET('Smelter Look-up'!$C$4,$V201-4,0)&amp;"")</f>
        <v/>
      </c>
      <c r="S201" s="222" t="str">
        <f t="shared" ca="1" si="30"/>
        <v/>
      </c>
      <c r="T201" s="222" t="str">
        <f ca="1">IF(B201="","",IF(ISERROR(MATCH($J201,SorP!$B$1:$B$6230,0)),"",INDIRECT("'SorP'!$A$"&amp;MATCH($J201,SorP!$B$1:$B$6230,0))))</f>
        <v/>
      </c>
      <c r="U201" s="238"/>
      <c r="V201" s="270" t="e">
        <f>IF(C201="",NA(),MATCH($B201&amp;$C201,'Smelter Look-up'!$J:$J,0))</f>
        <v>#N/A</v>
      </c>
      <c r="W201" s="271"/>
      <c r="X201" s="271">
        <f t="shared" ca="1" si="31"/>
        <v>0</v>
      </c>
      <c r="Y201" s="271"/>
      <c r="Z201" s="271"/>
      <c r="AB201" s="273" t="str">
        <f t="shared" si="32"/>
        <v/>
      </c>
    </row>
    <row r="202" spans="1:28" s="272" customFormat="1" ht="20.399999999999999">
      <c r="A202" s="214"/>
      <c r="B202" s="215" t="str">
        <f>IF(LEN(A202)=0,"",INDEX('Smelter Look-up'!$A:$A,MATCH($A202,'Smelter Look-up'!$E:$E,0)))</f>
        <v/>
      </c>
      <c r="C202" s="219" t="str">
        <f>IF(LEN(A202)=0,"",INDEX('Smelter Look-up'!$C:$C,MATCH($A202,'Smelter Look-up'!$E:$E,0)))</f>
        <v/>
      </c>
      <c r="D202" s="278"/>
      <c r="E202" s="215" t="str">
        <f ca="1">IF(ISERROR($V202),"",OFFSET('Smelter Look-up'!$D$4,$V202-4,0)&amp;"")</f>
        <v/>
      </c>
      <c r="F202" s="215" t="str">
        <f ca="1">IF(ISERROR($V202),"",OFFSET('Smelter Look-up'!$E$4,$V202-4,0))</f>
        <v/>
      </c>
      <c r="G202" s="215" t="str">
        <f ca="1">IF(C202=$X$4,"Enter smelter details",IF(ISERROR($V202),"",OFFSET('Smelter Look-up'!$F$4,$V202-4,0)))</f>
        <v/>
      </c>
      <c r="H202" s="216" t="str">
        <f ca="1">IF(ISERROR($V202),"",OFFSET('Smelter Look-up'!$G$4,$V202-4,0))</f>
        <v/>
      </c>
      <c r="I202" s="217" t="str">
        <f ca="1">IF(ISERROR($V202),"",OFFSET('Smelter Look-up'!$H$4,$V202-4,0))</f>
        <v/>
      </c>
      <c r="J202" s="217" t="str">
        <f ca="1">IF(ISERROR($V202),"",OFFSET('Smelter Look-up'!$I$4,$V202-4,0))</f>
        <v/>
      </c>
      <c r="K202" s="268"/>
      <c r="L202" s="268"/>
      <c r="M202" s="268"/>
      <c r="N202" s="268"/>
      <c r="O202" s="268"/>
      <c r="P202" s="218"/>
      <c r="Q202" s="269"/>
      <c r="R202" s="215" t="str">
        <f ca="1">IF(ISERROR($V202),"",OFFSET('Smelter Look-up'!$C$4,$V202-4,0)&amp;"")</f>
        <v/>
      </c>
      <c r="S202" s="222" t="str">
        <f t="shared" ca="1" si="30"/>
        <v/>
      </c>
      <c r="T202" s="222" t="str">
        <f ca="1">IF(B202="","",IF(ISERROR(MATCH($J202,SorP!$B$1:$B$6230,0)),"",INDIRECT("'SorP'!$A$"&amp;MATCH($J202,SorP!$B$1:$B$6230,0))))</f>
        <v/>
      </c>
      <c r="U202" s="238"/>
      <c r="V202" s="270" t="e">
        <f>IF(C202="",NA(),MATCH($B202&amp;$C202,'Smelter Look-up'!$J:$J,0))</f>
        <v>#N/A</v>
      </c>
      <c r="W202" s="271"/>
      <c r="X202" s="271">
        <f t="shared" ca="1" si="31"/>
        <v>0</v>
      </c>
      <c r="Y202" s="271"/>
      <c r="Z202" s="271"/>
      <c r="AB202" s="273" t="str">
        <f t="shared" si="32"/>
        <v/>
      </c>
    </row>
    <row r="203" spans="1:28" s="272" customFormat="1" ht="20.399999999999999">
      <c r="A203" s="214"/>
      <c r="B203" s="215" t="str">
        <f>IF(LEN(A203)=0,"",INDEX('Smelter Look-up'!$A:$A,MATCH($A203,'Smelter Look-up'!$E:$E,0)))</f>
        <v/>
      </c>
      <c r="C203" s="219" t="str">
        <f>IF(LEN(A203)=0,"",INDEX('Smelter Look-up'!$C:$C,MATCH($A203,'Smelter Look-up'!$E:$E,0)))</f>
        <v/>
      </c>
      <c r="D203" s="278"/>
      <c r="E203" s="215" t="str">
        <f ca="1">IF(ISERROR($V203),"",OFFSET('Smelter Look-up'!$D$4,$V203-4,0)&amp;"")</f>
        <v/>
      </c>
      <c r="F203" s="215" t="str">
        <f ca="1">IF(ISERROR($V203),"",OFFSET('Smelter Look-up'!$E$4,$V203-4,0))</f>
        <v/>
      </c>
      <c r="G203" s="215" t="str">
        <f ca="1">IF(C203=$X$4,"Enter smelter details",IF(ISERROR($V203),"",OFFSET('Smelter Look-up'!$F$4,$V203-4,0)))</f>
        <v/>
      </c>
      <c r="H203" s="216" t="str">
        <f ca="1">IF(ISERROR($V203),"",OFFSET('Smelter Look-up'!$G$4,$V203-4,0))</f>
        <v/>
      </c>
      <c r="I203" s="217" t="str">
        <f ca="1">IF(ISERROR($V203),"",OFFSET('Smelter Look-up'!$H$4,$V203-4,0))</f>
        <v/>
      </c>
      <c r="J203" s="217" t="str">
        <f ca="1">IF(ISERROR($V203),"",OFFSET('Smelter Look-up'!$I$4,$V203-4,0))</f>
        <v/>
      </c>
      <c r="K203" s="268"/>
      <c r="L203" s="268"/>
      <c r="M203" s="268"/>
      <c r="N203" s="268"/>
      <c r="O203" s="268"/>
      <c r="P203" s="218"/>
      <c r="Q203" s="269"/>
      <c r="R203" s="215" t="str">
        <f ca="1">IF(ISERROR($V203),"",OFFSET('Smelter Look-up'!$C$4,$V203-4,0)&amp;"")</f>
        <v/>
      </c>
      <c r="S203" s="222" t="str">
        <f t="shared" ca="1" si="30"/>
        <v/>
      </c>
      <c r="T203" s="222" t="str">
        <f ca="1">IF(B203="","",IF(ISERROR(MATCH($J203,SorP!$B$1:$B$6230,0)),"",INDIRECT("'SorP'!$A$"&amp;MATCH($J203,SorP!$B$1:$B$6230,0))))</f>
        <v/>
      </c>
      <c r="U203" s="238"/>
      <c r="V203" s="270" t="e">
        <f>IF(C203="",NA(),MATCH($B203&amp;$C203,'Smelter Look-up'!$J:$J,0))</f>
        <v>#N/A</v>
      </c>
      <c r="W203" s="271"/>
      <c r="X203" s="271">
        <f t="shared" ca="1" si="31"/>
        <v>0</v>
      </c>
      <c r="Y203" s="271"/>
      <c r="Z203" s="271"/>
      <c r="AB203" s="273" t="str">
        <f t="shared" si="32"/>
        <v/>
      </c>
    </row>
    <row r="204" spans="1:28" s="272" customFormat="1" ht="20.399999999999999">
      <c r="A204" s="214"/>
      <c r="B204" s="215" t="str">
        <f>IF(LEN(A204)=0,"",INDEX('Smelter Look-up'!$A:$A,MATCH($A204,'Smelter Look-up'!$E:$E,0)))</f>
        <v/>
      </c>
      <c r="C204" s="219" t="str">
        <f>IF(LEN(A204)=0,"",INDEX('Smelter Look-up'!$C:$C,MATCH($A204,'Smelter Look-up'!$E:$E,0)))</f>
        <v/>
      </c>
      <c r="D204" s="278"/>
      <c r="E204" s="215" t="str">
        <f ca="1">IF(ISERROR($V204),"",OFFSET('Smelter Look-up'!$D$4,$V204-4,0)&amp;"")</f>
        <v/>
      </c>
      <c r="F204" s="215" t="str">
        <f ca="1">IF(ISERROR($V204),"",OFFSET('Smelter Look-up'!$E$4,$V204-4,0))</f>
        <v/>
      </c>
      <c r="G204" s="215" t="str">
        <f ca="1">IF(C204=$X$4,"Enter smelter details",IF(ISERROR($V204),"",OFFSET('Smelter Look-up'!$F$4,$V204-4,0)))</f>
        <v/>
      </c>
      <c r="H204" s="216" t="str">
        <f ca="1">IF(ISERROR($V204),"",OFFSET('Smelter Look-up'!$G$4,$V204-4,0))</f>
        <v/>
      </c>
      <c r="I204" s="217" t="str">
        <f ca="1">IF(ISERROR($V204),"",OFFSET('Smelter Look-up'!$H$4,$V204-4,0))</f>
        <v/>
      </c>
      <c r="J204" s="217" t="str">
        <f ca="1">IF(ISERROR($V204),"",OFFSET('Smelter Look-up'!$I$4,$V204-4,0))</f>
        <v/>
      </c>
      <c r="K204" s="268"/>
      <c r="L204" s="268"/>
      <c r="M204" s="268"/>
      <c r="N204" s="268"/>
      <c r="O204" s="268"/>
      <c r="P204" s="218"/>
      <c r="Q204" s="269"/>
      <c r="R204" s="215" t="str">
        <f ca="1">IF(ISERROR($V204),"",OFFSET('Smelter Look-up'!$C$4,$V204-4,0)&amp;"")</f>
        <v/>
      </c>
      <c r="S204" s="222" t="str">
        <f t="shared" ca="1" si="30"/>
        <v/>
      </c>
      <c r="T204" s="222" t="str">
        <f ca="1">IF(B204="","",IF(ISERROR(MATCH($J204,SorP!$B$1:$B$6230,0)),"",INDIRECT("'SorP'!$A$"&amp;MATCH($J204,SorP!$B$1:$B$6230,0))))</f>
        <v/>
      </c>
      <c r="U204" s="238"/>
      <c r="V204" s="270" t="e">
        <f>IF(C204="",NA(),MATCH($B204&amp;$C204,'Smelter Look-up'!$J:$J,0))</f>
        <v>#N/A</v>
      </c>
      <c r="W204" s="271"/>
      <c r="X204" s="271">
        <f t="shared" ca="1" si="31"/>
        <v>0</v>
      </c>
      <c r="Y204" s="271"/>
      <c r="Z204" s="271"/>
      <c r="AB204" s="273" t="str">
        <f t="shared" si="32"/>
        <v/>
      </c>
    </row>
    <row r="205" spans="1:28" s="272" customFormat="1" ht="20.399999999999999">
      <c r="A205" s="214"/>
      <c r="B205" s="215" t="str">
        <f>IF(LEN(A205)=0,"",INDEX('Smelter Look-up'!$A:$A,MATCH($A205,'Smelter Look-up'!$E:$E,0)))</f>
        <v/>
      </c>
      <c r="C205" s="219" t="str">
        <f>IF(LEN(A205)=0,"",INDEX('Smelter Look-up'!$C:$C,MATCH($A205,'Smelter Look-up'!$E:$E,0)))</f>
        <v/>
      </c>
      <c r="D205" s="278"/>
      <c r="E205" s="215" t="str">
        <f ca="1">IF(ISERROR($V205),"",OFFSET('Smelter Look-up'!$D$4,$V205-4,0)&amp;"")</f>
        <v/>
      </c>
      <c r="F205" s="215" t="str">
        <f ca="1">IF(ISERROR($V205),"",OFFSET('Smelter Look-up'!$E$4,$V205-4,0))</f>
        <v/>
      </c>
      <c r="G205" s="215" t="str">
        <f ca="1">IF(C205=$X$4,"Enter smelter details",IF(ISERROR($V205),"",OFFSET('Smelter Look-up'!$F$4,$V205-4,0)))</f>
        <v/>
      </c>
      <c r="H205" s="216" t="str">
        <f ca="1">IF(ISERROR($V205),"",OFFSET('Smelter Look-up'!$G$4,$V205-4,0))</f>
        <v/>
      </c>
      <c r="I205" s="217" t="str">
        <f ca="1">IF(ISERROR($V205),"",OFFSET('Smelter Look-up'!$H$4,$V205-4,0))</f>
        <v/>
      </c>
      <c r="J205" s="217" t="str">
        <f ca="1">IF(ISERROR($V205),"",OFFSET('Smelter Look-up'!$I$4,$V205-4,0))</f>
        <v/>
      </c>
      <c r="K205" s="268"/>
      <c r="L205" s="268"/>
      <c r="M205" s="268"/>
      <c r="N205" s="268"/>
      <c r="O205" s="268"/>
      <c r="P205" s="218"/>
      <c r="Q205" s="269"/>
      <c r="R205" s="215" t="str">
        <f ca="1">IF(ISERROR($V205),"",OFFSET('Smelter Look-up'!$C$4,$V205-4,0)&amp;"")</f>
        <v/>
      </c>
      <c r="S205" s="222" t="str">
        <f t="shared" ca="1" si="30"/>
        <v/>
      </c>
      <c r="T205" s="222" t="str">
        <f ca="1">IF(B205="","",IF(ISERROR(MATCH($J205,SorP!$B$1:$B$6230,0)),"",INDIRECT("'SorP'!$A$"&amp;MATCH($J205,SorP!$B$1:$B$6230,0))))</f>
        <v/>
      </c>
      <c r="U205" s="238"/>
      <c r="V205" s="270" t="e">
        <f>IF(C205="",NA(),MATCH($B205&amp;$C205,'Smelter Look-up'!$J:$J,0))</f>
        <v>#N/A</v>
      </c>
      <c r="W205" s="271"/>
      <c r="X205" s="271">
        <f t="shared" ca="1" si="31"/>
        <v>0</v>
      </c>
      <c r="Y205" s="271"/>
      <c r="Z205" s="271"/>
      <c r="AB205" s="273" t="str">
        <f t="shared" si="32"/>
        <v/>
      </c>
    </row>
    <row r="206" spans="1:28" s="272" customFormat="1" ht="20.399999999999999">
      <c r="A206" s="214"/>
      <c r="B206" s="215" t="str">
        <f>IF(LEN(A206)=0,"",INDEX('Smelter Look-up'!$A:$A,MATCH($A206,'Smelter Look-up'!$E:$E,0)))</f>
        <v/>
      </c>
      <c r="C206" s="219" t="str">
        <f>IF(LEN(A206)=0,"",INDEX('Smelter Look-up'!$C:$C,MATCH($A206,'Smelter Look-up'!$E:$E,0)))</f>
        <v/>
      </c>
      <c r="D206" s="278"/>
      <c r="E206" s="215" t="str">
        <f ca="1">IF(ISERROR($V206),"",OFFSET('Smelter Look-up'!$D$4,$V206-4,0)&amp;"")</f>
        <v/>
      </c>
      <c r="F206" s="215" t="str">
        <f ca="1">IF(ISERROR($V206),"",OFFSET('Smelter Look-up'!$E$4,$V206-4,0))</f>
        <v/>
      </c>
      <c r="G206" s="215" t="str">
        <f ca="1">IF(C206=$X$4,"Enter smelter details",IF(ISERROR($V206),"",OFFSET('Smelter Look-up'!$F$4,$V206-4,0)))</f>
        <v/>
      </c>
      <c r="H206" s="216" t="str">
        <f ca="1">IF(ISERROR($V206),"",OFFSET('Smelter Look-up'!$G$4,$V206-4,0))</f>
        <v/>
      </c>
      <c r="I206" s="217" t="str">
        <f ca="1">IF(ISERROR($V206),"",OFFSET('Smelter Look-up'!$H$4,$V206-4,0))</f>
        <v/>
      </c>
      <c r="J206" s="217" t="str">
        <f ca="1">IF(ISERROR($V206),"",OFFSET('Smelter Look-up'!$I$4,$V206-4,0))</f>
        <v/>
      </c>
      <c r="K206" s="268"/>
      <c r="L206" s="268"/>
      <c r="M206" s="268"/>
      <c r="N206" s="268"/>
      <c r="O206" s="268"/>
      <c r="P206" s="218"/>
      <c r="Q206" s="269"/>
      <c r="R206" s="215" t="str">
        <f ca="1">IF(ISERROR($V206),"",OFFSET('Smelter Look-up'!$C$4,$V206-4,0)&amp;"")</f>
        <v/>
      </c>
      <c r="S206" s="222" t="str">
        <f t="shared" ca="1" si="30"/>
        <v/>
      </c>
      <c r="T206" s="222" t="str">
        <f ca="1">IF(B206="","",IF(ISERROR(MATCH($J206,SorP!$B$1:$B$6230,0)),"",INDIRECT("'SorP'!$A$"&amp;MATCH($J206,SorP!$B$1:$B$6230,0))))</f>
        <v/>
      </c>
      <c r="U206" s="238"/>
      <c r="V206" s="270" t="e">
        <f>IF(C206="",NA(),MATCH($B206&amp;$C206,'Smelter Look-up'!$J:$J,0))</f>
        <v>#N/A</v>
      </c>
      <c r="W206" s="271"/>
      <c r="X206" s="271">
        <f t="shared" ca="1" si="31"/>
        <v>0</v>
      </c>
      <c r="Y206" s="271"/>
      <c r="Z206" s="271"/>
      <c r="AB206" s="273" t="str">
        <f t="shared" si="32"/>
        <v/>
      </c>
    </row>
    <row r="207" spans="1:28" s="272" customFormat="1" ht="20.399999999999999">
      <c r="A207" s="214"/>
      <c r="B207" s="215" t="str">
        <f>IF(LEN(A207)=0,"",INDEX('Smelter Look-up'!$A:$A,MATCH($A207,'Smelter Look-up'!$E:$E,0)))</f>
        <v/>
      </c>
      <c r="C207" s="219" t="str">
        <f>IF(LEN(A207)=0,"",INDEX('Smelter Look-up'!$C:$C,MATCH($A207,'Smelter Look-up'!$E:$E,0)))</f>
        <v/>
      </c>
      <c r="D207" s="278"/>
      <c r="E207" s="215" t="str">
        <f ca="1">IF(ISERROR($V207),"",OFFSET('Smelter Look-up'!$D$4,$V207-4,0)&amp;"")</f>
        <v/>
      </c>
      <c r="F207" s="215" t="str">
        <f ca="1">IF(ISERROR($V207),"",OFFSET('Smelter Look-up'!$E$4,$V207-4,0))</f>
        <v/>
      </c>
      <c r="G207" s="215" t="str">
        <f ca="1">IF(C207=$X$4,"Enter smelter details",IF(ISERROR($V207),"",OFFSET('Smelter Look-up'!$F$4,$V207-4,0)))</f>
        <v/>
      </c>
      <c r="H207" s="216" t="str">
        <f ca="1">IF(ISERROR($V207),"",OFFSET('Smelter Look-up'!$G$4,$V207-4,0))</f>
        <v/>
      </c>
      <c r="I207" s="217" t="str">
        <f ca="1">IF(ISERROR($V207),"",OFFSET('Smelter Look-up'!$H$4,$V207-4,0))</f>
        <v/>
      </c>
      <c r="J207" s="217" t="str">
        <f ca="1">IF(ISERROR($V207),"",OFFSET('Smelter Look-up'!$I$4,$V207-4,0))</f>
        <v/>
      </c>
      <c r="K207" s="268"/>
      <c r="L207" s="268"/>
      <c r="M207" s="268"/>
      <c r="N207" s="268"/>
      <c r="O207" s="268"/>
      <c r="P207" s="218"/>
      <c r="Q207" s="269"/>
      <c r="R207" s="215" t="str">
        <f ca="1">IF(ISERROR($V207),"",OFFSET('Smelter Look-up'!$C$4,$V207-4,0)&amp;"")</f>
        <v/>
      </c>
      <c r="S207" s="222" t="str">
        <f t="shared" ca="1" si="30"/>
        <v/>
      </c>
      <c r="T207" s="222" t="str">
        <f ca="1">IF(B207="","",IF(ISERROR(MATCH($J207,SorP!$B$1:$B$6230,0)),"",INDIRECT("'SorP'!$A$"&amp;MATCH($J207,SorP!$B$1:$B$6230,0))))</f>
        <v/>
      </c>
      <c r="U207" s="238"/>
      <c r="V207" s="270" t="e">
        <f>IF(C207="",NA(),MATCH($B207&amp;$C207,'Smelter Look-up'!$J:$J,0))</f>
        <v>#N/A</v>
      </c>
      <c r="W207" s="271"/>
      <c r="X207" s="271">
        <f t="shared" ca="1" si="31"/>
        <v>0</v>
      </c>
      <c r="Y207" s="271"/>
      <c r="Z207" s="271"/>
      <c r="AB207" s="273" t="str">
        <f t="shared" si="32"/>
        <v/>
      </c>
    </row>
    <row r="208" spans="1:28" s="272" customFormat="1" ht="20.399999999999999">
      <c r="A208" s="214"/>
      <c r="B208" s="215" t="str">
        <f>IF(LEN(A208)=0,"",INDEX('Smelter Look-up'!$A:$A,MATCH($A208,'Smelter Look-up'!$E:$E,0)))</f>
        <v/>
      </c>
      <c r="C208" s="219" t="str">
        <f>IF(LEN(A208)=0,"",INDEX('Smelter Look-up'!$C:$C,MATCH($A208,'Smelter Look-up'!$E:$E,0)))</f>
        <v/>
      </c>
      <c r="D208" s="278"/>
      <c r="E208" s="215" t="str">
        <f ca="1">IF(ISERROR($V208),"",OFFSET('Smelter Look-up'!$D$4,$V208-4,0)&amp;"")</f>
        <v/>
      </c>
      <c r="F208" s="215" t="str">
        <f ca="1">IF(ISERROR($V208),"",OFFSET('Smelter Look-up'!$E$4,$V208-4,0))</f>
        <v/>
      </c>
      <c r="G208" s="215" t="str">
        <f ca="1">IF(C208=$X$4,"Enter smelter details",IF(ISERROR($V208),"",OFFSET('Smelter Look-up'!$F$4,$V208-4,0)))</f>
        <v/>
      </c>
      <c r="H208" s="216" t="str">
        <f ca="1">IF(ISERROR($V208),"",OFFSET('Smelter Look-up'!$G$4,$V208-4,0))</f>
        <v/>
      </c>
      <c r="I208" s="217" t="str">
        <f ca="1">IF(ISERROR($V208),"",OFFSET('Smelter Look-up'!$H$4,$V208-4,0))</f>
        <v/>
      </c>
      <c r="J208" s="217" t="str">
        <f ca="1">IF(ISERROR($V208),"",OFFSET('Smelter Look-up'!$I$4,$V208-4,0))</f>
        <v/>
      </c>
      <c r="K208" s="268"/>
      <c r="L208" s="268"/>
      <c r="M208" s="268"/>
      <c r="N208" s="268"/>
      <c r="O208" s="268"/>
      <c r="P208" s="218"/>
      <c r="Q208" s="269"/>
      <c r="R208" s="215" t="str">
        <f ca="1">IF(ISERROR($V208),"",OFFSET('Smelter Look-up'!$C$4,$V208-4,0)&amp;"")</f>
        <v/>
      </c>
      <c r="S208" s="222" t="str">
        <f t="shared" ca="1" si="30"/>
        <v/>
      </c>
      <c r="T208" s="222" t="str">
        <f ca="1">IF(B208="","",IF(ISERROR(MATCH($J208,SorP!$B$1:$B$6230,0)),"",INDIRECT("'SorP'!$A$"&amp;MATCH($J208,SorP!$B$1:$B$6230,0))))</f>
        <v/>
      </c>
      <c r="U208" s="238"/>
      <c r="V208" s="270" t="e">
        <f>IF(C208="",NA(),MATCH($B208&amp;$C208,'Smelter Look-up'!$J:$J,0))</f>
        <v>#N/A</v>
      </c>
      <c r="W208" s="271"/>
      <c r="X208" s="271">
        <f t="shared" ca="1" si="31"/>
        <v>0</v>
      </c>
      <c r="Y208" s="271"/>
      <c r="Z208" s="271"/>
      <c r="AB208" s="273" t="str">
        <f t="shared" si="32"/>
        <v/>
      </c>
    </row>
    <row r="209" spans="1:28" s="272" customFormat="1" ht="20.399999999999999">
      <c r="A209" s="214"/>
      <c r="B209" s="215" t="str">
        <f>IF(LEN(A209)=0,"",INDEX('Smelter Look-up'!$A:$A,MATCH($A209,'Smelter Look-up'!$E:$E,0)))</f>
        <v/>
      </c>
      <c r="C209" s="219" t="str">
        <f>IF(LEN(A209)=0,"",INDEX('Smelter Look-up'!$C:$C,MATCH($A209,'Smelter Look-up'!$E:$E,0)))</f>
        <v/>
      </c>
      <c r="D209" s="278"/>
      <c r="E209" s="215" t="str">
        <f ca="1">IF(ISERROR($V209),"",OFFSET('Smelter Look-up'!$D$4,$V209-4,0)&amp;"")</f>
        <v/>
      </c>
      <c r="F209" s="215" t="str">
        <f ca="1">IF(ISERROR($V209),"",OFFSET('Smelter Look-up'!$E$4,$V209-4,0))</f>
        <v/>
      </c>
      <c r="G209" s="215" t="str">
        <f ca="1">IF(C209=$X$4,"Enter smelter details",IF(ISERROR($V209),"",OFFSET('Smelter Look-up'!$F$4,$V209-4,0)))</f>
        <v/>
      </c>
      <c r="H209" s="216" t="str">
        <f ca="1">IF(ISERROR($V209),"",OFFSET('Smelter Look-up'!$G$4,$V209-4,0))</f>
        <v/>
      </c>
      <c r="I209" s="217" t="str">
        <f ca="1">IF(ISERROR($V209),"",OFFSET('Smelter Look-up'!$H$4,$V209-4,0))</f>
        <v/>
      </c>
      <c r="J209" s="217" t="str">
        <f ca="1">IF(ISERROR($V209),"",OFFSET('Smelter Look-up'!$I$4,$V209-4,0))</f>
        <v/>
      </c>
      <c r="K209" s="268"/>
      <c r="L209" s="268"/>
      <c r="M209" s="268"/>
      <c r="N209" s="268"/>
      <c r="O209" s="268"/>
      <c r="P209" s="218"/>
      <c r="Q209" s="269"/>
      <c r="R209" s="215" t="str">
        <f ca="1">IF(ISERROR($V209),"",OFFSET('Smelter Look-up'!$C$4,$V209-4,0)&amp;"")</f>
        <v/>
      </c>
      <c r="S209" s="222" t="str">
        <f t="shared" ca="1" si="30"/>
        <v/>
      </c>
      <c r="T209" s="222" t="str">
        <f ca="1">IF(B209="","",IF(ISERROR(MATCH($J209,SorP!$B$1:$B$6230,0)),"",INDIRECT("'SorP'!$A$"&amp;MATCH($J209,SorP!$B$1:$B$6230,0))))</f>
        <v/>
      </c>
      <c r="U209" s="238"/>
      <c r="V209" s="270" t="e">
        <f>IF(C209="",NA(),MATCH($B209&amp;$C209,'Smelter Look-up'!$J:$J,0))</f>
        <v>#N/A</v>
      </c>
      <c r="W209" s="271"/>
      <c r="X209" s="271">
        <f t="shared" ca="1" si="31"/>
        <v>0</v>
      </c>
      <c r="Y209" s="271"/>
      <c r="Z209" s="271"/>
      <c r="AB209" s="273" t="str">
        <f t="shared" si="32"/>
        <v/>
      </c>
    </row>
    <row r="210" spans="1:28" s="272" customFormat="1" ht="20.399999999999999">
      <c r="A210" s="214"/>
      <c r="B210" s="215" t="str">
        <f>IF(LEN(A210)=0,"",INDEX('Smelter Look-up'!$A:$A,MATCH($A210,'Smelter Look-up'!$E:$E,0)))</f>
        <v/>
      </c>
      <c r="C210" s="219" t="str">
        <f>IF(LEN(A210)=0,"",INDEX('Smelter Look-up'!$C:$C,MATCH($A210,'Smelter Look-up'!$E:$E,0)))</f>
        <v/>
      </c>
      <c r="D210" s="278"/>
      <c r="E210" s="215" t="str">
        <f ca="1">IF(ISERROR($V210),"",OFFSET('Smelter Look-up'!$D$4,$V210-4,0)&amp;"")</f>
        <v/>
      </c>
      <c r="F210" s="215" t="str">
        <f ca="1">IF(ISERROR($V210),"",OFFSET('Smelter Look-up'!$E$4,$V210-4,0))</f>
        <v/>
      </c>
      <c r="G210" s="215" t="str">
        <f ca="1">IF(C210=$X$4,"Enter smelter details",IF(ISERROR($V210),"",OFFSET('Smelter Look-up'!$F$4,$V210-4,0)))</f>
        <v/>
      </c>
      <c r="H210" s="216" t="str">
        <f ca="1">IF(ISERROR($V210),"",OFFSET('Smelter Look-up'!$G$4,$V210-4,0))</f>
        <v/>
      </c>
      <c r="I210" s="217" t="str">
        <f ca="1">IF(ISERROR($V210),"",OFFSET('Smelter Look-up'!$H$4,$V210-4,0))</f>
        <v/>
      </c>
      <c r="J210" s="217" t="str">
        <f ca="1">IF(ISERROR($V210),"",OFFSET('Smelter Look-up'!$I$4,$V210-4,0))</f>
        <v/>
      </c>
      <c r="K210" s="268"/>
      <c r="L210" s="268"/>
      <c r="M210" s="268"/>
      <c r="N210" s="268"/>
      <c r="O210" s="268"/>
      <c r="P210" s="218"/>
      <c r="Q210" s="269"/>
      <c r="R210" s="215" t="str">
        <f ca="1">IF(ISERROR($V210),"",OFFSET('Smelter Look-up'!$C$4,$V210-4,0)&amp;"")</f>
        <v/>
      </c>
      <c r="S210" s="222" t="str">
        <f t="shared" ca="1" si="30"/>
        <v/>
      </c>
      <c r="T210" s="222" t="str">
        <f ca="1">IF(B210="","",IF(ISERROR(MATCH($J210,SorP!$B$1:$B$6230,0)),"",INDIRECT("'SorP'!$A$"&amp;MATCH($J210,SorP!$B$1:$B$6230,0))))</f>
        <v/>
      </c>
      <c r="U210" s="238"/>
      <c r="V210" s="270" t="e">
        <f>IF(C210="",NA(),MATCH($B210&amp;$C210,'Smelter Look-up'!$J:$J,0))</f>
        <v>#N/A</v>
      </c>
      <c r="W210" s="271"/>
      <c r="X210" s="271">
        <f t="shared" ca="1" si="31"/>
        <v>0</v>
      </c>
      <c r="Y210" s="271"/>
      <c r="Z210" s="271"/>
      <c r="AB210" s="273" t="str">
        <f t="shared" si="32"/>
        <v/>
      </c>
    </row>
    <row r="211" spans="1:28" s="272" customFormat="1" ht="20.399999999999999">
      <c r="A211" s="214"/>
      <c r="B211" s="215" t="str">
        <f>IF(LEN(A211)=0,"",INDEX('Smelter Look-up'!$A:$A,MATCH($A211,'Smelter Look-up'!$E:$E,0)))</f>
        <v/>
      </c>
      <c r="C211" s="219" t="str">
        <f>IF(LEN(A211)=0,"",INDEX('Smelter Look-up'!$C:$C,MATCH($A211,'Smelter Look-up'!$E:$E,0)))</f>
        <v/>
      </c>
      <c r="D211" s="278"/>
      <c r="E211" s="215" t="str">
        <f ca="1">IF(ISERROR($V211),"",OFFSET('Smelter Look-up'!$D$4,$V211-4,0)&amp;"")</f>
        <v/>
      </c>
      <c r="F211" s="215" t="str">
        <f ca="1">IF(ISERROR($V211),"",OFFSET('Smelter Look-up'!$E$4,$V211-4,0))</f>
        <v/>
      </c>
      <c r="G211" s="215" t="str">
        <f ca="1">IF(C211=$X$4,"Enter smelter details",IF(ISERROR($V211),"",OFFSET('Smelter Look-up'!$F$4,$V211-4,0)))</f>
        <v/>
      </c>
      <c r="H211" s="216" t="str">
        <f ca="1">IF(ISERROR($V211),"",OFFSET('Smelter Look-up'!$G$4,$V211-4,0))</f>
        <v/>
      </c>
      <c r="I211" s="217" t="str">
        <f ca="1">IF(ISERROR($V211),"",OFFSET('Smelter Look-up'!$H$4,$V211-4,0))</f>
        <v/>
      </c>
      <c r="J211" s="217" t="str">
        <f ca="1">IF(ISERROR($V211),"",OFFSET('Smelter Look-up'!$I$4,$V211-4,0))</f>
        <v/>
      </c>
      <c r="K211" s="268"/>
      <c r="L211" s="268"/>
      <c r="M211" s="268"/>
      <c r="N211" s="268"/>
      <c r="O211" s="268"/>
      <c r="P211" s="218"/>
      <c r="Q211" s="269"/>
      <c r="R211" s="215" t="str">
        <f ca="1">IF(ISERROR($V211),"",OFFSET('Smelter Look-up'!$C$4,$V211-4,0)&amp;"")</f>
        <v/>
      </c>
      <c r="S211" s="222" t="str">
        <f t="shared" ca="1" si="30"/>
        <v/>
      </c>
      <c r="T211" s="222" t="str">
        <f ca="1">IF(B211="","",IF(ISERROR(MATCH($J211,SorP!$B$1:$B$6230,0)),"",INDIRECT("'SorP'!$A$"&amp;MATCH($J211,SorP!$B$1:$B$6230,0))))</f>
        <v/>
      </c>
      <c r="U211" s="238"/>
      <c r="V211" s="270" t="e">
        <f>IF(C211="",NA(),MATCH($B211&amp;$C211,'Smelter Look-up'!$J:$J,0))</f>
        <v>#N/A</v>
      </c>
      <c r="W211" s="271"/>
      <c r="X211" s="271">
        <f t="shared" ca="1" si="31"/>
        <v>0</v>
      </c>
      <c r="Y211" s="271"/>
      <c r="Z211" s="271"/>
      <c r="AB211" s="273" t="str">
        <f t="shared" si="32"/>
        <v/>
      </c>
    </row>
    <row r="212" spans="1:28" s="272" customFormat="1" ht="20.399999999999999">
      <c r="A212" s="214"/>
      <c r="B212" s="215" t="str">
        <f>IF(LEN(A212)=0,"",INDEX('Smelter Look-up'!$A:$A,MATCH($A212,'Smelter Look-up'!$E:$E,0)))</f>
        <v/>
      </c>
      <c r="C212" s="219" t="str">
        <f>IF(LEN(A212)=0,"",INDEX('Smelter Look-up'!$C:$C,MATCH($A212,'Smelter Look-up'!$E:$E,0)))</f>
        <v/>
      </c>
      <c r="D212" s="278"/>
      <c r="E212" s="215" t="str">
        <f ca="1">IF(ISERROR($V212),"",OFFSET('Smelter Look-up'!$D$4,$V212-4,0)&amp;"")</f>
        <v/>
      </c>
      <c r="F212" s="215" t="str">
        <f ca="1">IF(ISERROR($V212),"",OFFSET('Smelter Look-up'!$E$4,$V212-4,0))</f>
        <v/>
      </c>
      <c r="G212" s="215" t="str">
        <f ca="1">IF(C212=$X$4,"Enter smelter details",IF(ISERROR($V212),"",OFFSET('Smelter Look-up'!$F$4,$V212-4,0)))</f>
        <v/>
      </c>
      <c r="H212" s="216" t="str">
        <f ca="1">IF(ISERROR($V212),"",OFFSET('Smelter Look-up'!$G$4,$V212-4,0))</f>
        <v/>
      </c>
      <c r="I212" s="217" t="str">
        <f ca="1">IF(ISERROR($V212),"",OFFSET('Smelter Look-up'!$H$4,$V212-4,0))</f>
        <v/>
      </c>
      <c r="J212" s="217" t="str">
        <f ca="1">IF(ISERROR($V212),"",OFFSET('Smelter Look-up'!$I$4,$V212-4,0))</f>
        <v/>
      </c>
      <c r="K212" s="268"/>
      <c r="L212" s="268"/>
      <c r="M212" s="268"/>
      <c r="N212" s="268"/>
      <c r="O212" s="268"/>
      <c r="P212" s="218"/>
      <c r="Q212" s="269"/>
      <c r="R212" s="215" t="str">
        <f ca="1">IF(ISERROR($V212),"",OFFSET('Smelter Look-up'!$C$4,$V212-4,0)&amp;"")</f>
        <v/>
      </c>
      <c r="S212" s="222" t="str">
        <f t="shared" ca="1" si="30"/>
        <v/>
      </c>
      <c r="T212" s="222" t="str">
        <f ca="1">IF(B212="","",IF(ISERROR(MATCH($J212,SorP!$B$1:$B$6230,0)),"",INDIRECT("'SorP'!$A$"&amp;MATCH($J212,SorP!$B$1:$B$6230,0))))</f>
        <v/>
      </c>
      <c r="U212" s="238"/>
      <c r="V212" s="270" t="e">
        <f>IF(C212="",NA(),MATCH($B212&amp;$C212,'Smelter Look-up'!$J:$J,0))</f>
        <v>#N/A</v>
      </c>
      <c r="W212" s="271"/>
      <c r="X212" s="271">
        <f t="shared" ca="1" si="31"/>
        <v>0</v>
      </c>
      <c r="Y212" s="271"/>
      <c r="Z212" s="271"/>
      <c r="AB212" s="273" t="str">
        <f t="shared" si="32"/>
        <v/>
      </c>
    </row>
    <row r="213" spans="1:28" s="272" customFormat="1" ht="20.399999999999999">
      <c r="A213" s="214"/>
      <c r="B213" s="215" t="str">
        <f>IF(LEN(A213)=0,"",INDEX('Smelter Look-up'!$A:$A,MATCH($A213,'Smelter Look-up'!$E:$E,0)))</f>
        <v/>
      </c>
      <c r="C213" s="219" t="str">
        <f>IF(LEN(A213)=0,"",INDEX('Smelter Look-up'!$C:$C,MATCH($A213,'Smelter Look-up'!$E:$E,0)))</f>
        <v/>
      </c>
      <c r="D213" s="278"/>
      <c r="E213" s="215" t="str">
        <f ca="1">IF(ISERROR($V213),"",OFFSET('Smelter Look-up'!$D$4,$V213-4,0)&amp;"")</f>
        <v/>
      </c>
      <c r="F213" s="215" t="str">
        <f ca="1">IF(ISERROR($V213),"",OFFSET('Smelter Look-up'!$E$4,$V213-4,0))</f>
        <v/>
      </c>
      <c r="G213" s="215" t="str">
        <f ca="1">IF(C213=$X$4,"Enter smelter details",IF(ISERROR($V213),"",OFFSET('Smelter Look-up'!$F$4,$V213-4,0)))</f>
        <v/>
      </c>
      <c r="H213" s="216" t="str">
        <f ca="1">IF(ISERROR($V213),"",OFFSET('Smelter Look-up'!$G$4,$V213-4,0))</f>
        <v/>
      </c>
      <c r="I213" s="217" t="str">
        <f ca="1">IF(ISERROR($V213),"",OFFSET('Smelter Look-up'!$H$4,$V213-4,0))</f>
        <v/>
      </c>
      <c r="J213" s="217" t="str">
        <f ca="1">IF(ISERROR($V213),"",OFFSET('Smelter Look-up'!$I$4,$V213-4,0))</f>
        <v/>
      </c>
      <c r="K213" s="268"/>
      <c r="L213" s="268"/>
      <c r="M213" s="268"/>
      <c r="N213" s="268"/>
      <c r="O213" s="268"/>
      <c r="P213" s="218"/>
      <c r="Q213" s="269"/>
      <c r="R213" s="215" t="str">
        <f ca="1">IF(ISERROR($V213),"",OFFSET('Smelter Look-up'!$C$4,$V213-4,0)&amp;"")</f>
        <v/>
      </c>
      <c r="S213" s="222" t="str">
        <f t="shared" ca="1" si="30"/>
        <v/>
      </c>
      <c r="T213" s="222" t="str">
        <f ca="1">IF(B213="","",IF(ISERROR(MATCH($J213,SorP!$B$1:$B$6230,0)),"",INDIRECT("'SorP'!$A$"&amp;MATCH($J213,SorP!$B$1:$B$6230,0))))</f>
        <v/>
      </c>
      <c r="U213" s="238"/>
      <c r="V213" s="270" t="e">
        <f>IF(C213="",NA(),MATCH($B213&amp;$C213,'Smelter Look-up'!$J:$J,0))</f>
        <v>#N/A</v>
      </c>
      <c r="W213" s="271"/>
      <c r="X213" s="271">
        <f t="shared" ca="1" si="31"/>
        <v>0</v>
      </c>
      <c r="Y213" s="271"/>
      <c r="Z213" s="271"/>
      <c r="AB213" s="273" t="str">
        <f t="shared" si="32"/>
        <v/>
      </c>
    </row>
    <row r="214" spans="1:28" s="272" customFormat="1" ht="20.399999999999999">
      <c r="A214" s="214"/>
      <c r="B214" s="215" t="str">
        <f>IF(LEN(A214)=0,"",INDEX('Smelter Look-up'!$A:$A,MATCH($A214,'Smelter Look-up'!$E:$E,0)))</f>
        <v/>
      </c>
      <c r="C214" s="219" t="str">
        <f>IF(LEN(A214)=0,"",INDEX('Smelter Look-up'!$C:$C,MATCH($A214,'Smelter Look-up'!$E:$E,0)))</f>
        <v/>
      </c>
      <c r="D214" s="278"/>
      <c r="E214" s="215" t="str">
        <f ca="1">IF(ISERROR($V214),"",OFFSET('Smelter Look-up'!$D$4,$V214-4,0)&amp;"")</f>
        <v/>
      </c>
      <c r="F214" s="215" t="str">
        <f ca="1">IF(ISERROR($V214),"",OFFSET('Smelter Look-up'!$E$4,$V214-4,0))</f>
        <v/>
      </c>
      <c r="G214" s="215" t="str">
        <f ca="1">IF(C214=$X$4,"Enter smelter details",IF(ISERROR($V214),"",OFFSET('Smelter Look-up'!$F$4,$V214-4,0)))</f>
        <v/>
      </c>
      <c r="H214" s="216" t="str">
        <f ca="1">IF(ISERROR($V214),"",OFFSET('Smelter Look-up'!$G$4,$V214-4,0))</f>
        <v/>
      </c>
      <c r="I214" s="217" t="str">
        <f ca="1">IF(ISERROR($V214),"",OFFSET('Smelter Look-up'!$H$4,$V214-4,0))</f>
        <v/>
      </c>
      <c r="J214" s="217" t="str">
        <f ca="1">IF(ISERROR($V214),"",OFFSET('Smelter Look-up'!$I$4,$V214-4,0))</f>
        <v/>
      </c>
      <c r="K214" s="268"/>
      <c r="L214" s="268"/>
      <c r="M214" s="268"/>
      <c r="N214" s="268"/>
      <c r="O214" s="268"/>
      <c r="P214" s="218"/>
      <c r="Q214" s="269"/>
      <c r="R214" s="215" t="str">
        <f ca="1">IF(ISERROR($V214),"",OFFSET('Smelter Look-up'!$C$4,$V214-4,0)&amp;"")</f>
        <v/>
      </c>
      <c r="S214" s="222" t="str">
        <f t="shared" ca="1" si="30"/>
        <v/>
      </c>
      <c r="T214" s="222" t="str">
        <f ca="1">IF(B214="","",IF(ISERROR(MATCH($J214,SorP!$B$1:$B$6230,0)),"",INDIRECT("'SorP'!$A$"&amp;MATCH($J214,SorP!$B$1:$B$6230,0))))</f>
        <v/>
      </c>
      <c r="U214" s="238"/>
      <c r="V214" s="270" t="e">
        <f>IF(C214="",NA(),MATCH($B214&amp;$C214,'Smelter Look-up'!$J:$J,0))</f>
        <v>#N/A</v>
      </c>
      <c r="W214" s="271"/>
      <c r="X214" s="271">
        <f t="shared" ca="1" si="31"/>
        <v>0</v>
      </c>
      <c r="Y214" s="271"/>
      <c r="Z214" s="271"/>
      <c r="AB214" s="273" t="str">
        <f t="shared" si="32"/>
        <v/>
      </c>
    </row>
    <row r="215" spans="1:28" s="272" customFormat="1" ht="20.399999999999999">
      <c r="A215" s="214"/>
      <c r="B215" s="215" t="str">
        <f>IF(LEN(A215)=0,"",INDEX('Smelter Look-up'!$A:$A,MATCH($A215,'Smelter Look-up'!$E:$E,0)))</f>
        <v/>
      </c>
      <c r="C215" s="219" t="str">
        <f>IF(LEN(A215)=0,"",INDEX('Smelter Look-up'!$C:$C,MATCH($A215,'Smelter Look-up'!$E:$E,0)))</f>
        <v/>
      </c>
      <c r="D215" s="278"/>
      <c r="E215" s="215" t="str">
        <f ca="1">IF(ISERROR($V215),"",OFFSET('Smelter Look-up'!$D$4,$V215-4,0)&amp;"")</f>
        <v/>
      </c>
      <c r="F215" s="215" t="str">
        <f ca="1">IF(ISERROR($V215),"",OFFSET('Smelter Look-up'!$E$4,$V215-4,0))</f>
        <v/>
      </c>
      <c r="G215" s="215" t="str">
        <f ca="1">IF(C215=$X$4,"Enter smelter details",IF(ISERROR($V215),"",OFFSET('Smelter Look-up'!$F$4,$V215-4,0)))</f>
        <v/>
      </c>
      <c r="H215" s="216" t="str">
        <f ca="1">IF(ISERROR($V215),"",OFFSET('Smelter Look-up'!$G$4,$V215-4,0))</f>
        <v/>
      </c>
      <c r="I215" s="217" t="str">
        <f ca="1">IF(ISERROR($V215),"",OFFSET('Smelter Look-up'!$H$4,$V215-4,0))</f>
        <v/>
      </c>
      <c r="J215" s="217" t="str">
        <f ca="1">IF(ISERROR($V215),"",OFFSET('Smelter Look-up'!$I$4,$V215-4,0))</f>
        <v/>
      </c>
      <c r="K215" s="268"/>
      <c r="L215" s="268"/>
      <c r="M215" s="268"/>
      <c r="N215" s="268"/>
      <c r="O215" s="268"/>
      <c r="P215" s="218"/>
      <c r="Q215" s="269"/>
      <c r="R215" s="215" t="str">
        <f ca="1">IF(ISERROR($V215),"",OFFSET('Smelter Look-up'!$C$4,$V215-4,0)&amp;"")</f>
        <v/>
      </c>
      <c r="S215" s="222" t="str">
        <f t="shared" ca="1" si="30"/>
        <v/>
      </c>
      <c r="T215" s="222" t="str">
        <f ca="1">IF(B215="","",IF(ISERROR(MATCH($J215,SorP!$B$1:$B$6230,0)),"",INDIRECT("'SorP'!$A$"&amp;MATCH($J215,SorP!$B$1:$B$6230,0))))</f>
        <v/>
      </c>
      <c r="U215" s="238"/>
      <c r="V215" s="270" t="e">
        <f>IF(C215="",NA(),MATCH($B215&amp;$C215,'Smelter Look-up'!$J:$J,0))</f>
        <v>#N/A</v>
      </c>
      <c r="W215" s="271"/>
      <c r="X215" s="271">
        <f t="shared" ca="1" si="31"/>
        <v>0</v>
      </c>
      <c r="Y215" s="271"/>
      <c r="Z215" s="271"/>
      <c r="AB215" s="273" t="str">
        <f t="shared" si="32"/>
        <v/>
      </c>
    </row>
    <row r="216" spans="1:28" s="272" customFormat="1" ht="20.399999999999999">
      <c r="A216" s="214"/>
      <c r="B216" s="215" t="str">
        <f>IF(LEN(A216)=0,"",INDEX('Smelter Look-up'!$A:$A,MATCH($A216,'Smelter Look-up'!$E:$E,0)))</f>
        <v/>
      </c>
      <c r="C216" s="219" t="str">
        <f>IF(LEN(A216)=0,"",INDEX('Smelter Look-up'!$C:$C,MATCH($A216,'Smelter Look-up'!$E:$E,0)))</f>
        <v/>
      </c>
      <c r="D216" s="278"/>
      <c r="E216" s="215" t="str">
        <f ca="1">IF(ISERROR($V216),"",OFFSET('Smelter Look-up'!$D$4,$V216-4,0)&amp;"")</f>
        <v/>
      </c>
      <c r="F216" s="215" t="str">
        <f ca="1">IF(ISERROR($V216),"",OFFSET('Smelter Look-up'!$E$4,$V216-4,0))</f>
        <v/>
      </c>
      <c r="G216" s="215" t="str">
        <f ca="1">IF(C216=$X$4,"Enter smelter details",IF(ISERROR($V216),"",OFFSET('Smelter Look-up'!$F$4,$V216-4,0)))</f>
        <v/>
      </c>
      <c r="H216" s="216" t="str">
        <f ca="1">IF(ISERROR($V216),"",OFFSET('Smelter Look-up'!$G$4,$V216-4,0))</f>
        <v/>
      </c>
      <c r="I216" s="217" t="str">
        <f ca="1">IF(ISERROR($V216),"",OFFSET('Smelter Look-up'!$H$4,$V216-4,0))</f>
        <v/>
      </c>
      <c r="J216" s="217" t="str">
        <f ca="1">IF(ISERROR($V216),"",OFFSET('Smelter Look-up'!$I$4,$V216-4,0))</f>
        <v/>
      </c>
      <c r="K216" s="268"/>
      <c r="L216" s="268"/>
      <c r="M216" s="268"/>
      <c r="N216" s="268"/>
      <c r="O216" s="268"/>
      <c r="P216" s="218"/>
      <c r="Q216" s="269"/>
      <c r="R216" s="215" t="str">
        <f ca="1">IF(ISERROR($V216),"",OFFSET('Smelter Look-up'!$C$4,$V216-4,0)&amp;"")</f>
        <v/>
      </c>
      <c r="S216" s="222" t="str">
        <f t="shared" ca="1" si="30"/>
        <v/>
      </c>
      <c r="T216" s="222" t="str">
        <f ca="1">IF(B216="","",IF(ISERROR(MATCH($J216,SorP!$B$1:$B$6230,0)),"",INDIRECT("'SorP'!$A$"&amp;MATCH($J216,SorP!$B$1:$B$6230,0))))</f>
        <v/>
      </c>
      <c r="U216" s="238"/>
      <c r="V216" s="270" t="e">
        <f>IF(C216="",NA(),MATCH($B216&amp;$C216,'Smelter Look-up'!$J:$J,0))</f>
        <v>#N/A</v>
      </c>
      <c r="W216" s="271"/>
      <c r="X216" s="271">
        <f t="shared" ca="1" si="31"/>
        <v>0</v>
      </c>
      <c r="Y216" s="271"/>
      <c r="Z216" s="271"/>
      <c r="AB216" s="273" t="str">
        <f t="shared" si="32"/>
        <v/>
      </c>
    </row>
    <row r="217" spans="1:28" s="272" customFormat="1" ht="20.399999999999999">
      <c r="A217" s="214"/>
      <c r="B217" s="215" t="str">
        <f>IF(LEN(A217)=0,"",INDEX('Smelter Look-up'!$A:$A,MATCH($A217,'Smelter Look-up'!$E:$E,0)))</f>
        <v/>
      </c>
      <c r="C217" s="219" t="str">
        <f>IF(LEN(A217)=0,"",INDEX('Smelter Look-up'!$C:$C,MATCH($A217,'Smelter Look-up'!$E:$E,0)))</f>
        <v/>
      </c>
      <c r="D217" s="278"/>
      <c r="E217" s="215" t="str">
        <f ca="1">IF(ISERROR($V217),"",OFFSET('Smelter Look-up'!$D$4,$V217-4,0)&amp;"")</f>
        <v/>
      </c>
      <c r="F217" s="215" t="str">
        <f ca="1">IF(ISERROR($V217),"",OFFSET('Smelter Look-up'!$E$4,$V217-4,0))</f>
        <v/>
      </c>
      <c r="G217" s="215" t="str">
        <f ca="1">IF(C217=$X$4,"Enter smelter details",IF(ISERROR($V217),"",OFFSET('Smelter Look-up'!$F$4,$V217-4,0)))</f>
        <v/>
      </c>
      <c r="H217" s="216" t="str">
        <f ca="1">IF(ISERROR($V217),"",OFFSET('Smelter Look-up'!$G$4,$V217-4,0))</f>
        <v/>
      </c>
      <c r="I217" s="217" t="str">
        <f ca="1">IF(ISERROR($V217),"",OFFSET('Smelter Look-up'!$H$4,$V217-4,0))</f>
        <v/>
      </c>
      <c r="J217" s="217" t="str">
        <f ca="1">IF(ISERROR($V217),"",OFFSET('Smelter Look-up'!$I$4,$V217-4,0))</f>
        <v/>
      </c>
      <c r="K217" s="268"/>
      <c r="L217" s="268"/>
      <c r="M217" s="268"/>
      <c r="N217" s="268"/>
      <c r="O217" s="268"/>
      <c r="P217" s="218"/>
      <c r="Q217" s="269"/>
      <c r="R217" s="215" t="str">
        <f ca="1">IF(ISERROR($V217),"",OFFSET('Smelter Look-up'!$C$4,$V217-4,0)&amp;"")</f>
        <v/>
      </c>
      <c r="S217" s="222" t="str">
        <f t="shared" ca="1" si="30"/>
        <v/>
      </c>
      <c r="T217" s="222" t="str">
        <f ca="1">IF(B217="","",IF(ISERROR(MATCH($J217,SorP!$B$1:$B$6230,0)),"",INDIRECT("'SorP'!$A$"&amp;MATCH($J217,SorP!$B$1:$B$6230,0))))</f>
        <v/>
      </c>
      <c r="U217" s="238"/>
      <c r="V217" s="270" t="e">
        <f>IF(C217="",NA(),MATCH($B217&amp;$C217,'Smelter Look-up'!$J:$J,0))</f>
        <v>#N/A</v>
      </c>
      <c r="W217" s="271"/>
      <c r="X217" s="271">
        <f t="shared" ca="1" si="31"/>
        <v>0</v>
      </c>
      <c r="Y217" s="271"/>
      <c r="Z217" s="271"/>
      <c r="AB217" s="273" t="str">
        <f t="shared" si="32"/>
        <v/>
      </c>
    </row>
    <row r="218" spans="1:28" s="272" customFormat="1" ht="20.399999999999999">
      <c r="A218" s="214"/>
      <c r="B218" s="215" t="str">
        <f>IF(LEN(A218)=0,"",INDEX('Smelter Look-up'!$A:$A,MATCH($A218,'Smelter Look-up'!$E:$E,0)))</f>
        <v/>
      </c>
      <c r="C218" s="219" t="str">
        <f>IF(LEN(A218)=0,"",INDEX('Smelter Look-up'!$C:$C,MATCH($A218,'Smelter Look-up'!$E:$E,0)))</f>
        <v/>
      </c>
      <c r="D218" s="278"/>
      <c r="E218" s="215" t="str">
        <f ca="1">IF(ISERROR($V218),"",OFFSET('Smelter Look-up'!$D$4,$V218-4,0)&amp;"")</f>
        <v/>
      </c>
      <c r="F218" s="215" t="str">
        <f ca="1">IF(ISERROR($V218),"",OFFSET('Smelter Look-up'!$E$4,$V218-4,0))</f>
        <v/>
      </c>
      <c r="G218" s="215" t="str">
        <f ca="1">IF(C218=$X$4,"Enter smelter details",IF(ISERROR($V218),"",OFFSET('Smelter Look-up'!$F$4,$V218-4,0)))</f>
        <v/>
      </c>
      <c r="H218" s="216" t="str">
        <f ca="1">IF(ISERROR($V218),"",OFFSET('Smelter Look-up'!$G$4,$V218-4,0))</f>
        <v/>
      </c>
      <c r="I218" s="217" t="str">
        <f ca="1">IF(ISERROR($V218),"",OFFSET('Smelter Look-up'!$H$4,$V218-4,0))</f>
        <v/>
      </c>
      <c r="J218" s="217" t="str">
        <f ca="1">IF(ISERROR($V218),"",OFFSET('Smelter Look-up'!$I$4,$V218-4,0))</f>
        <v/>
      </c>
      <c r="K218" s="268"/>
      <c r="L218" s="268"/>
      <c r="M218" s="268"/>
      <c r="N218" s="268"/>
      <c r="O218" s="268"/>
      <c r="P218" s="218"/>
      <c r="Q218" s="269"/>
      <c r="R218" s="215" t="str">
        <f ca="1">IF(ISERROR($V218),"",OFFSET('Smelter Look-up'!$C$4,$V218-4,0)&amp;"")</f>
        <v/>
      </c>
      <c r="S218" s="222" t="str">
        <f t="shared" ca="1" si="30"/>
        <v/>
      </c>
      <c r="T218" s="222" t="str">
        <f ca="1">IF(B218="","",IF(ISERROR(MATCH($J218,SorP!$B$1:$B$6230,0)),"",INDIRECT("'SorP'!$A$"&amp;MATCH($J218,SorP!$B$1:$B$6230,0))))</f>
        <v/>
      </c>
      <c r="U218" s="238"/>
      <c r="V218" s="270" t="e">
        <f>IF(C218="",NA(),MATCH($B218&amp;$C218,'Smelter Look-up'!$J:$J,0))</f>
        <v>#N/A</v>
      </c>
      <c r="W218" s="271"/>
      <c r="X218" s="271">
        <f t="shared" ca="1" si="31"/>
        <v>0</v>
      </c>
      <c r="Y218" s="271"/>
      <c r="Z218" s="271"/>
      <c r="AB218" s="273" t="str">
        <f t="shared" si="32"/>
        <v/>
      </c>
    </row>
    <row r="219" spans="1:28" s="272" customFormat="1" ht="20.399999999999999">
      <c r="A219" s="214"/>
      <c r="B219" s="215" t="str">
        <f>IF(LEN(A219)=0,"",INDEX('Smelter Look-up'!$A:$A,MATCH($A219,'Smelter Look-up'!$E:$E,0)))</f>
        <v/>
      </c>
      <c r="C219" s="219" t="str">
        <f>IF(LEN(A219)=0,"",INDEX('Smelter Look-up'!$C:$C,MATCH($A219,'Smelter Look-up'!$E:$E,0)))</f>
        <v/>
      </c>
      <c r="D219" s="278"/>
      <c r="E219" s="215" t="str">
        <f ca="1">IF(ISERROR($V219),"",OFFSET('Smelter Look-up'!$D$4,$V219-4,0)&amp;"")</f>
        <v/>
      </c>
      <c r="F219" s="215" t="str">
        <f ca="1">IF(ISERROR($V219),"",OFFSET('Smelter Look-up'!$E$4,$V219-4,0))</f>
        <v/>
      </c>
      <c r="G219" s="215" t="str">
        <f ca="1">IF(C219=$X$4,"Enter smelter details",IF(ISERROR($V219),"",OFFSET('Smelter Look-up'!$F$4,$V219-4,0)))</f>
        <v/>
      </c>
      <c r="H219" s="216" t="str">
        <f ca="1">IF(ISERROR($V219),"",OFFSET('Smelter Look-up'!$G$4,$V219-4,0))</f>
        <v/>
      </c>
      <c r="I219" s="217" t="str">
        <f ca="1">IF(ISERROR($V219),"",OFFSET('Smelter Look-up'!$H$4,$V219-4,0))</f>
        <v/>
      </c>
      <c r="J219" s="217" t="str">
        <f ca="1">IF(ISERROR($V219),"",OFFSET('Smelter Look-up'!$I$4,$V219-4,0))</f>
        <v/>
      </c>
      <c r="K219" s="268"/>
      <c r="L219" s="268"/>
      <c r="M219" s="268"/>
      <c r="N219" s="268"/>
      <c r="O219" s="268"/>
      <c r="P219" s="218"/>
      <c r="Q219" s="269"/>
      <c r="R219" s="215" t="str">
        <f ca="1">IF(ISERROR($V219),"",OFFSET('Smelter Look-up'!$C$4,$V219-4,0)&amp;"")</f>
        <v/>
      </c>
      <c r="S219" s="222" t="str">
        <f t="shared" ca="1" si="30"/>
        <v/>
      </c>
      <c r="T219" s="222" t="str">
        <f ca="1">IF(B219="","",IF(ISERROR(MATCH($J219,SorP!$B$1:$B$6230,0)),"",INDIRECT("'SorP'!$A$"&amp;MATCH($J219,SorP!$B$1:$B$6230,0))))</f>
        <v/>
      </c>
      <c r="U219" s="238"/>
      <c r="V219" s="270" t="e">
        <f>IF(C219="",NA(),MATCH($B219&amp;$C219,'Smelter Look-up'!$J:$J,0))</f>
        <v>#N/A</v>
      </c>
      <c r="W219" s="271"/>
      <c r="X219" s="271">
        <f t="shared" ca="1" si="31"/>
        <v>0</v>
      </c>
      <c r="Y219" s="271"/>
      <c r="Z219" s="271"/>
      <c r="AB219" s="273" t="str">
        <f t="shared" si="32"/>
        <v/>
      </c>
    </row>
    <row r="220" spans="1:28" s="272" customFormat="1" ht="20.399999999999999">
      <c r="A220" s="214"/>
      <c r="B220" s="215" t="str">
        <f>IF(LEN(A220)=0,"",INDEX('Smelter Look-up'!$A:$A,MATCH($A220,'Smelter Look-up'!$E:$E,0)))</f>
        <v/>
      </c>
      <c r="C220" s="219" t="str">
        <f>IF(LEN(A220)=0,"",INDEX('Smelter Look-up'!$C:$C,MATCH($A220,'Smelter Look-up'!$E:$E,0)))</f>
        <v/>
      </c>
      <c r="D220" s="278"/>
      <c r="E220" s="215" t="str">
        <f ca="1">IF(ISERROR($V220),"",OFFSET('Smelter Look-up'!$D$4,$V220-4,0)&amp;"")</f>
        <v/>
      </c>
      <c r="F220" s="215" t="str">
        <f ca="1">IF(ISERROR($V220),"",OFFSET('Smelter Look-up'!$E$4,$V220-4,0))</f>
        <v/>
      </c>
      <c r="G220" s="215" t="str">
        <f ca="1">IF(C220=$X$4,"Enter smelter details",IF(ISERROR($V220),"",OFFSET('Smelter Look-up'!$F$4,$V220-4,0)))</f>
        <v/>
      </c>
      <c r="H220" s="216" t="str">
        <f ca="1">IF(ISERROR($V220),"",OFFSET('Smelter Look-up'!$G$4,$V220-4,0))</f>
        <v/>
      </c>
      <c r="I220" s="217" t="str">
        <f ca="1">IF(ISERROR($V220),"",OFFSET('Smelter Look-up'!$H$4,$V220-4,0))</f>
        <v/>
      </c>
      <c r="J220" s="217" t="str">
        <f ca="1">IF(ISERROR($V220),"",OFFSET('Smelter Look-up'!$I$4,$V220-4,0))</f>
        <v/>
      </c>
      <c r="K220" s="268"/>
      <c r="L220" s="268"/>
      <c r="M220" s="268"/>
      <c r="N220" s="268"/>
      <c r="O220" s="268"/>
      <c r="P220" s="218"/>
      <c r="Q220" s="269"/>
      <c r="R220" s="215" t="str">
        <f ca="1">IF(ISERROR($V220),"",OFFSET('Smelter Look-up'!$C$4,$V220-4,0)&amp;"")</f>
        <v/>
      </c>
      <c r="S220" s="222" t="str">
        <f t="shared" ca="1" si="30"/>
        <v/>
      </c>
      <c r="T220" s="222" t="str">
        <f ca="1">IF(B220="","",IF(ISERROR(MATCH($J220,SorP!$B$1:$B$6230,0)),"",INDIRECT("'SorP'!$A$"&amp;MATCH($J220,SorP!$B$1:$B$6230,0))))</f>
        <v/>
      </c>
      <c r="U220" s="238"/>
      <c r="V220" s="270" t="e">
        <f>IF(C220="",NA(),MATCH($B220&amp;$C220,'Smelter Look-up'!$J:$J,0))</f>
        <v>#N/A</v>
      </c>
      <c r="W220" s="271"/>
      <c r="X220" s="271">
        <f t="shared" ca="1" si="31"/>
        <v>0</v>
      </c>
      <c r="Y220" s="271"/>
      <c r="Z220" s="271"/>
      <c r="AB220" s="273" t="str">
        <f t="shared" si="32"/>
        <v/>
      </c>
    </row>
    <row r="221" spans="1:28" s="272" customFormat="1" ht="20.399999999999999">
      <c r="A221" s="214"/>
      <c r="B221" s="215" t="str">
        <f>IF(LEN(A221)=0,"",INDEX('Smelter Look-up'!$A:$A,MATCH($A221,'Smelter Look-up'!$E:$E,0)))</f>
        <v/>
      </c>
      <c r="C221" s="219" t="str">
        <f>IF(LEN(A221)=0,"",INDEX('Smelter Look-up'!$C:$C,MATCH($A221,'Smelter Look-up'!$E:$E,0)))</f>
        <v/>
      </c>
      <c r="D221" s="278"/>
      <c r="E221" s="215" t="str">
        <f ca="1">IF(ISERROR($V221),"",OFFSET('Smelter Look-up'!$D$4,$V221-4,0)&amp;"")</f>
        <v/>
      </c>
      <c r="F221" s="215" t="str">
        <f ca="1">IF(ISERROR($V221),"",OFFSET('Smelter Look-up'!$E$4,$V221-4,0))</f>
        <v/>
      </c>
      <c r="G221" s="215" t="str">
        <f ca="1">IF(C221=$X$4,"Enter smelter details",IF(ISERROR($V221),"",OFFSET('Smelter Look-up'!$F$4,$V221-4,0)))</f>
        <v/>
      </c>
      <c r="H221" s="216" t="str">
        <f ca="1">IF(ISERROR($V221),"",OFFSET('Smelter Look-up'!$G$4,$V221-4,0))</f>
        <v/>
      </c>
      <c r="I221" s="217" t="str">
        <f ca="1">IF(ISERROR($V221),"",OFFSET('Smelter Look-up'!$H$4,$V221-4,0))</f>
        <v/>
      </c>
      <c r="J221" s="217" t="str">
        <f ca="1">IF(ISERROR($V221),"",OFFSET('Smelter Look-up'!$I$4,$V221-4,0))</f>
        <v/>
      </c>
      <c r="K221" s="268"/>
      <c r="L221" s="268"/>
      <c r="M221" s="268"/>
      <c r="N221" s="268"/>
      <c r="O221" s="268"/>
      <c r="P221" s="218"/>
      <c r="Q221" s="269"/>
      <c r="R221" s="215" t="str">
        <f ca="1">IF(ISERROR($V221),"",OFFSET('Smelter Look-up'!$C$4,$V221-4,0)&amp;"")</f>
        <v/>
      </c>
      <c r="S221" s="222" t="str">
        <f t="shared" ca="1" si="30"/>
        <v/>
      </c>
      <c r="T221" s="222" t="str">
        <f ca="1">IF(B221="","",IF(ISERROR(MATCH($J221,SorP!$B$1:$B$6230,0)),"",INDIRECT("'SorP'!$A$"&amp;MATCH($J221,SorP!$B$1:$B$6230,0))))</f>
        <v/>
      </c>
      <c r="U221" s="238"/>
      <c r="V221" s="270" t="e">
        <f>IF(C221="",NA(),MATCH($B221&amp;$C221,'Smelter Look-up'!$J:$J,0))</f>
        <v>#N/A</v>
      </c>
      <c r="W221" s="271"/>
      <c r="X221" s="271">
        <f t="shared" ca="1" si="31"/>
        <v>0</v>
      </c>
      <c r="Y221" s="271"/>
      <c r="Z221" s="271"/>
      <c r="AB221" s="273" t="str">
        <f t="shared" si="32"/>
        <v/>
      </c>
    </row>
    <row r="222" spans="1:28" s="272" customFormat="1" ht="20.399999999999999">
      <c r="A222" s="214"/>
      <c r="B222" s="215" t="str">
        <f>IF(LEN(A222)=0,"",INDEX('Smelter Look-up'!$A:$A,MATCH($A222,'Smelter Look-up'!$E:$E,0)))</f>
        <v/>
      </c>
      <c r="C222" s="219" t="str">
        <f>IF(LEN(A222)=0,"",INDEX('Smelter Look-up'!$C:$C,MATCH($A222,'Smelter Look-up'!$E:$E,0)))</f>
        <v/>
      </c>
      <c r="D222" s="278"/>
      <c r="E222" s="215" t="str">
        <f ca="1">IF(ISERROR($V222),"",OFFSET('Smelter Look-up'!$D$4,$V222-4,0)&amp;"")</f>
        <v/>
      </c>
      <c r="F222" s="215" t="str">
        <f ca="1">IF(ISERROR($V222),"",OFFSET('Smelter Look-up'!$E$4,$V222-4,0))</f>
        <v/>
      </c>
      <c r="G222" s="215" t="str">
        <f ca="1">IF(C222=$X$4,"Enter smelter details",IF(ISERROR($V222),"",OFFSET('Smelter Look-up'!$F$4,$V222-4,0)))</f>
        <v/>
      </c>
      <c r="H222" s="216" t="str">
        <f ca="1">IF(ISERROR($V222),"",OFFSET('Smelter Look-up'!$G$4,$V222-4,0))</f>
        <v/>
      </c>
      <c r="I222" s="217" t="str">
        <f ca="1">IF(ISERROR($V222),"",OFFSET('Smelter Look-up'!$H$4,$V222-4,0))</f>
        <v/>
      </c>
      <c r="J222" s="217" t="str">
        <f ca="1">IF(ISERROR($V222),"",OFFSET('Smelter Look-up'!$I$4,$V222-4,0))</f>
        <v/>
      </c>
      <c r="K222" s="268"/>
      <c r="L222" s="268"/>
      <c r="M222" s="268"/>
      <c r="N222" s="268"/>
      <c r="O222" s="268"/>
      <c r="P222" s="218"/>
      <c r="Q222" s="269"/>
      <c r="R222" s="215" t="str">
        <f ca="1">IF(ISERROR($V222),"",OFFSET('Smelter Look-up'!$C$4,$V222-4,0)&amp;"")</f>
        <v/>
      </c>
      <c r="S222" s="222" t="str">
        <f t="shared" ca="1" si="30"/>
        <v/>
      </c>
      <c r="T222" s="222" t="str">
        <f ca="1">IF(B222="","",IF(ISERROR(MATCH($J222,SorP!$B$1:$B$6230,0)),"",INDIRECT("'SorP'!$A$"&amp;MATCH($J222,SorP!$B$1:$B$6230,0))))</f>
        <v/>
      </c>
      <c r="U222" s="238"/>
      <c r="V222" s="270" t="e">
        <f>IF(C222="",NA(),MATCH($B222&amp;$C222,'Smelter Look-up'!$J:$J,0))</f>
        <v>#N/A</v>
      </c>
      <c r="W222" s="271"/>
      <c r="X222" s="271">
        <f t="shared" ca="1" si="31"/>
        <v>0</v>
      </c>
      <c r="Y222" s="271"/>
      <c r="Z222" s="271"/>
      <c r="AB222" s="273" t="str">
        <f t="shared" si="32"/>
        <v/>
      </c>
    </row>
    <row r="223" spans="1:28" s="272" customFormat="1" ht="20.399999999999999">
      <c r="A223" s="214"/>
      <c r="B223" s="215" t="str">
        <f>IF(LEN(A223)=0,"",INDEX('Smelter Look-up'!$A:$A,MATCH($A223,'Smelter Look-up'!$E:$E,0)))</f>
        <v/>
      </c>
      <c r="C223" s="219" t="str">
        <f>IF(LEN(A223)=0,"",INDEX('Smelter Look-up'!$C:$C,MATCH($A223,'Smelter Look-up'!$E:$E,0)))</f>
        <v/>
      </c>
      <c r="D223" s="278"/>
      <c r="E223" s="215" t="str">
        <f ca="1">IF(ISERROR($V223),"",OFFSET('Smelter Look-up'!$D$4,$V223-4,0)&amp;"")</f>
        <v/>
      </c>
      <c r="F223" s="215" t="str">
        <f ca="1">IF(ISERROR($V223),"",OFFSET('Smelter Look-up'!$E$4,$V223-4,0))</f>
        <v/>
      </c>
      <c r="G223" s="215" t="str">
        <f ca="1">IF(C223=$X$4,"Enter smelter details",IF(ISERROR($V223),"",OFFSET('Smelter Look-up'!$F$4,$V223-4,0)))</f>
        <v/>
      </c>
      <c r="H223" s="216" t="str">
        <f ca="1">IF(ISERROR($V223),"",OFFSET('Smelter Look-up'!$G$4,$V223-4,0))</f>
        <v/>
      </c>
      <c r="I223" s="217" t="str">
        <f ca="1">IF(ISERROR($V223),"",OFFSET('Smelter Look-up'!$H$4,$V223-4,0))</f>
        <v/>
      </c>
      <c r="J223" s="217" t="str">
        <f ca="1">IF(ISERROR($V223),"",OFFSET('Smelter Look-up'!$I$4,$V223-4,0))</f>
        <v/>
      </c>
      <c r="K223" s="268"/>
      <c r="L223" s="268"/>
      <c r="M223" s="268"/>
      <c r="N223" s="268"/>
      <c r="O223" s="268"/>
      <c r="P223" s="218"/>
      <c r="Q223" s="269"/>
      <c r="R223" s="215" t="str">
        <f ca="1">IF(ISERROR($V223),"",OFFSET('Smelter Look-up'!$C$4,$V223-4,0)&amp;"")</f>
        <v/>
      </c>
      <c r="S223" s="222" t="str">
        <f t="shared" ca="1" si="30"/>
        <v/>
      </c>
      <c r="T223" s="222" t="str">
        <f ca="1">IF(B223="","",IF(ISERROR(MATCH($J223,SorP!$B$1:$B$6230,0)),"",INDIRECT("'SorP'!$A$"&amp;MATCH($J223,SorP!$B$1:$B$6230,0))))</f>
        <v/>
      </c>
      <c r="U223" s="238"/>
      <c r="V223" s="270" t="e">
        <f>IF(C223="",NA(),MATCH($B223&amp;$C223,'Smelter Look-up'!$J:$J,0))</f>
        <v>#N/A</v>
      </c>
      <c r="W223" s="271"/>
      <c r="X223" s="271">
        <f t="shared" ca="1" si="31"/>
        <v>0</v>
      </c>
      <c r="Y223" s="271"/>
      <c r="Z223" s="271"/>
      <c r="AB223" s="273" t="str">
        <f t="shared" si="32"/>
        <v/>
      </c>
    </row>
    <row r="224" spans="1:28" s="272" customFormat="1" ht="20.399999999999999">
      <c r="A224" s="214"/>
      <c r="B224" s="215" t="str">
        <f>IF(LEN(A224)=0,"",INDEX('Smelter Look-up'!$A:$A,MATCH($A224,'Smelter Look-up'!$E:$E,0)))</f>
        <v/>
      </c>
      <c r="C224" s="219" t="str">
        <f>IF(LEN(A224)=0,"",INDEX('Smelter Look-up'!$C:$C,MATCH($A224,'Smelter Look-up'!$E:$E,0)))</f>
        <v/>
      </c>
      <c r="D224" s="278"/>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c r="R224" s="215" t="str">
        <f ca="1">IF(ISERROR($V224),"",OFFSET('Smelter Look-up'!$C$4,$V224-4,0)&amp;"")</f>
        <v/>
      </c>
      <c r="S224" s="222" t="str">
        <f t="shared" ca="1" si="30"/>
        <v/>
      </c>
      <c r="T224" s="222" t="str">
        <f ca="1">IF(B224="","",IF(ISERROR(MATCH($J224,SorP!$B$1:$B$6230,0)),"",INDIRECT("'SorP'!$A$"&amp;MATCH($J224,SorP!$B$1:$B$6230,0))))</f>
        <v/>
      </c>
      <c r="U224" s="238"/>
      <c r="V224" s="270" t="e">
        <f>IF(C224="",NA(),MATCH($B224&amp;$C224,'Smelter Look-up'!$J:$J,0))</f>
        <v>#N/A</v>
      </c>
      <c r="W224" s="271"/>
      <c r="X224" s="271">
        <f t="shared" ca="1" si="31"/>
        <v>0</v>
      </c>
      <c r="Y224" s="271"/>
      <c r="Z224" s="271"/>
      <c r="AB224" s="273" t="str">
        <f t="shared" si="32"/>
        <v/>
      </c>
    </row>
    <row r="225" spans="1:28" s="272" customFormat="1" ht="20.399999999999999">
      <c r="A225" s="214"/>
      <c r="B225" s="215" t="str">
        <f>IF(LEN(A225)=0,"",INDEX('Smelter Look-up'!$A:$A,MATCH($A225,'Smelter Look-up'!$E:$E,0)))</f>
        <v/>
      </c>
      <c r="C225" s="219" t="str">
        <f>IF(LEN(A225)=0,"",INDEX('Smelter Look-up'!$C:$C,MATCH($A225,'Smelter Look-up'!$E:$E,0)))</f>
        <v/>
      </c>
      <c r="D225" s="278"/>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c r="R225" s="215" t="str">
        <f ca="1">IF(ISERROR($V225),"",OFFSET('Smelter Look-up'!$C$4,$V225-4,0)&amp;"")</f>
        <v/>
      </c>
      <c r="S225" s="222" t="str">
        <f t="shared" ca="1" si="30"/>
        <v/>
      </c>
      <c r="T225" s="222" t="str">
        <f ca="1">IF(B225="","",IF(ISERROR(MATCH($J225,SorP!$B$1:$B$6230,0)),"",INDIRECT("'SorP'!$A$"&amp;MATCH($J225,SorP!$B$1:$B$6230,0))))</f>
        <v/>
      </c>
      <c r="U225" s="238"/>
      <c r="V225" s="270" t="e">
        <f>IF(C225="",NA(),MATCH($B225&amp;$C225,'Smelter Look-up'!$J:$J,0))</f>
        <v>#N/A</v>
      </c>
      <c r="W225" s="271"/>
      <c r="X225" s="271">
        <f t="shared" ca="1" si="31"/>
        <v>0</v>
      </c>
      <c r="Y225" s="271"/>
      <c r="Z225" s="271"/>
      <c r="AB225" s="273" t="str">
        <f t="shared" si="32"/>
        <v/>
      </c>
    </row>
    <row r="226" spans="1:28" s="272" customFormat="1" ht="20.399999999999999">
      <c r="A226" s="214"/>
      <c r="B226" s="215" t="str">
        <f>IF(LEN(A226)=0,"",INDEX('Smelter Look-up'!$A:$A,MATCH($A226,'Smelter Look-up'!$E:$E,0)))</f>
        <v/>
      </c>
      <c r="C226" s="219" t="str">
        <f>IF(LEN(A226)=0,"",INDEX('Smelter Look-up'!$C:$C,MATCH($A226,'Smelter Look-up'!$E:$E,0)))</f>
        <v/>
      </c>
      <c r="D226" s="278"/>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c r="R226" s="215" t="str">
        <f ca="1">IF(ISERROR($V226),"",OFFSET('Smelter Look-up'!$C$4,$V226-4,0)&amp;"")</f>
        <v/>
      </c>
      <c r="S226" s="222" t="str">
        <f t="shared" ca="1" si="30"/>
        <v/>
      </c>
      <c r="T226" s="222" t="str">
        <f ca="1">IF(B226="","",IF(ISERROR(MATCH($J226,SorP!$B$1:$B$6230,0)),"",INDIRECT("'SorP'!$A$"&amp;MATCH($J226,SorP!$B$1:$B$6230,0))))</f>
        <v/>
      </c>
      <c r="U226" s="238"/>
      <c r="V226" s="270" t="e">
        <f>IF(C226="",NA(),MATCH($B226&amp;$C226,'Smelter Look-up'!$J:$J,0))</f>
        <v>#N/A</v>
      </c>
      <c r="W226" s="271"/>
      <c r="X226" s="271">
        <f t="shared" ca="1" si="31"/>
        <v>0</v>
      </c>
      <c r="Y226" s="271"/>
      <c r="Z226" s="271"/>
      <c r="AB226" s="273" t="str">
        <f t="shared" si="32"/>
        <v/>
      </c>
    </row>
    <row r="227" spans="1:28" s="272" customFormat="1" ht="20.399999999999999">
      <c r="A227" s="214"/>
      <c r="B227" s="215" t="str">
        <f>IF(LEN(A227)=0,"",INDEX('Smelter Look-up'!$A:$A,MATCH($A227,'Smelter Look-up'!$E:$E,0)))</f>
        <v/>
      </c>
      <c r="C227" s="219" t="str">
        <f>IF(LEN(A227)=0,"",INDEX('Smelter Look-up'!$C:$C,MATCH($A227,'Smelter Look-up'!$E:$E,0)))</f>
        <v/>
      </c>
      <c r="D227" s="278"/>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c r="R227" s="215" t="str">
        <f ca="1">IF(ISERROR($V227),"",OFFSET('Smelter Look-up'!$C$4,$V227-4,0)&amp;"")</f>
        <v/>
      </c>
      <c r="S227" s="222" t="str">
        <f t="shared" ca="1" si="30"/>
        <v/>
      </c>
      <c r="T227" s="222" t="str">
        <f ca="1">IF(B227="","",IF(ISERROR(MATCH($J227,SorP!$B$1:$B$6230,0)),"",INDIRECT("'SorP'!$A$"&amp;MATCH($J227,SorP!$B$1:$B$6230,0))))</f>
        <v/>
      </c>
      <c r="U227" s="238"/>
      <c r="V227" s="270" t="e">
        <f>IF(C227="",NA(),MATCH($B227&amp;$C227,'Smelter Look-up'!$J:$J,0))</f>
        <v>#N/A</v>
      </c>
      <c r="W227" s="271"/>
      <c r="X227" s="271">
        <f t="shared" ca="1" si="31"/>
        <v>0</v>
      </c>
      <c r="Y227" s="271"/>
      <c r="Z227" s="271"/>
      <c r="AB227" s="273" t="str">
        <f t="shared" si="32"/>
        <v/>
      </c>
    </row>
    <row r="228" spans="1:28" s="272" customFormat="1" ht="20.399999999999999">
      <c r="A228" s="214"/>
      <c r="B228" s="215" t="str">
        <f>IF(LEN(A228)=0,"",INDEX('Smelter Look-up'!$A:$A,MATCH($A228,'Smelter Look-up'!$E:$E,0)))</f>
        <v/>
      </c>
      <c r="C228" s="219" t="str">
        <f>IF(LEN(A228)=0,"",INDEX('Smelter Look-up'!$C:$C,MATCH($A228,'Smelter Look-up'!$E:$E,0)))</f>
        <v/>
      </c>
      <c r="D228" s="278"/>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68"/>
      <c r="L228" s="268"/>
      <c r="M228" s="268"/>
      <c r="N228" s="268"/>
      <c r="O228" s="268"/>
      <c r="P228" s="218"/>
      <c r="Q228" s="269"/>
      <c r="R228" s="215" t="str">
        <f ca="1">IF(ISERROR($V228),"",OFFSET('Smelter Look-up'!$C$4,$V228-4,0)&amp;"")</f>
        <v/>
      </c>
      <c r="S228" s="222" t="str">
        <f t="shared" ca="1" si="30"/>
        <v/>
      </c>
      <c r="T228" s="222" t="str">
        <f ca="1">IF(B228="","",IF(ISERROR(MATCH($J228,SorP!$B$1:$B$6230,0)),"",INDIRECT("'SorP'!$A$"&amp;MATCH($J228,SorP!$B$1:$B$6230,0))))</f>
        <v/>
      </c>
      <c r="U228" s="238"/>
      <c r="V228" s="270" t="e">
        <f>IF(C228="",NA(),MATCH($B228&amp;$C228,'Smelter Look-up'!$J:$J,0))</f>
        <v>#N/A</v>
      </c>
      <c r="W228" s="271"/>
      <c r="X228" s="271">
        <f t="shared" ca="1" si="31"/>
        <v>0</v>
      </c>
      <c r="Y228" s="271"/>
      <c r="Z228" s="271"/>
      <c r="AB228" s="273" t="str">
        <f t="shared" si="32"/>
        <v/>
      </c>
    </row>
    <row r="229" spans="1:28" s="272" customFormat="1" ht="20.399999999999999">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ca="1" si="30"/>
        <v/>
      </c>
      <c r="T229" s="222" t="str">
        <f ca="1">IF(B229="","",IF(ISERROR(MATCH($J229,SorP!$B$1:$B$6230,0)),"",INDIRECT("'SorP'!$A$"&amp;MATCH($J229,SorP!$B$1:$B$6230,0))))</f>
        <v/>
      </c>
      <c r="U229" s="238"/>
      <c r="V229" s="270" t="e">
        <f>IF(C229="",NA(),MATCH($B229&amp;$C229,'Smelter Look-up'!$J:$J,0))</f>
        <v>#N/A</v>
      </c>
      <c r="W229" s="271"/>
      <c r="X229" s="271">
        <f t="shared" ca="1" si="31"/>
        <v>0</v>
      </c>
      <c r="Y229" s="271"/>
      <c r="Z229" s="271"/>
      <c r="AB229" s="273" t="str">
        <f t="shared" si="32"/>
        <v/>
      </c>
    </row>
    <row r="230" spans="1:28" s="272" customFormat="1" ht="20.399999999999999">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ref="S230:S260" ca="1" si="33">IF(B230="","",IF(ISERROR(MATCH($E230,CL,0)),"Unknown",INDIRECT("'C'!$A$"&amp;MATCH($E230,CL,0)+1)))</f>
        <v/>
      </c>
      <c r="T230" s="222" t="str">
        <f ca="1">IF(B230="","",IF(ISERROR(MATCH($J230,SorP!$B$1:$B$6230,0)),"",INDIRECT("'SorP'!$A$"&amp;MATCH($J230,SorP!$B$1:$B$6230,0))))</f>
        <v/>
      </c>
      <c r="U230" s="238"/>
      <c r="V230" s="270" t="e">
        <f>IF(C230="",NA(),MATCH($B230&amp;$C230,'Smelter Look-up'!$J:$J,0))</f>
        <v>#N/A</v>
      </c>
      <c r="W230" s="271"/>
      <c r="X230" s="271">
        <f t="shared" ref="X230:X260" ca="1" si="34">IF(AND(C230="Smelter not listed",OR(LEN(D230)=0,LEN(E230)=0)),1,0)</f>
        <v>0</v>
      </c>
      <c r="Y230" s="271"/>
      <c r="Z230" s="271"/>
      <c r="AB230" s="273" t="str">
        <f t="shared" ref="AB230:AB260" si="35">B230&amp;C230</f>
        <v/>
      </c>
    </row>
    <row r="231" spans="1:28" s="272" customFormat="1" ht="20.399999999999999">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ca="1" si="33"/>
        <v/>
      </c>
      <c r="T231" s="222" t="str">
        <f ca="1">IF(B231="","",IF(ISERROR(MATCH($J231,SorP!$B$1:$B$6230,0)),"",INDIRECT("'SorP'!$A$"&amp;MATCH($J231,SorP!$B$1:$B$6230,0))))</f>
        <v/>
      </c>
      <c r="U231" s="238"/>
      <c r="V231" s="270" t="e">
        <f>IF(C231="",NA(),MATCH($B231&amp;$C231,'Smelter Look-up'!$J:$J,0))</f>
        <v>#N/A</v>
      </c>
      <c r="W231" s="271"/>
      <c r="X231" s="271">
        <f t="shared" ca="1" si="34"/>
        <v>0</v>
      </c>
      <c r="Y231" s="271"/>
      <c r="Z231" s="271"/>
      <c r="AB231" s="273" t="str">
        <f t="shared" si="35"/>
        <v/>
      </c>
    </row>
    <row r="232" spans="1:28" s="272" customFormat="1" ht="20.399999999999999">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33"/>
        <v/>
      </c>
      <c r="T232" s="222" t="str">
        <f ca="1">IF(B232="","",IF(ISERROR(MATCH($J232,SorP!$B$1:$B$6230,0)),"",INDIRECT("'SorP'!$A$"&amp;MATCH($J232,SorP!$B$1:$B$6230,0))))</f>
        <v/>
      </c>
      <c r="U232" s="238"/>
      <c r="V232" s="270" t="e">
        <f>IF(C232="",NA(),MATCH($B232&amp;$C232,'Smelter Look-up'!$J:$J,0))</f>
        <v>#N/A</v>
      </c>
      <c r="W232" s="271"/>
      <c r="X232" s="271">
        <f t="shared" ca="1" si="34"/>
        <v>0</v>
      </c>
      <c r="Y232" s="271"/>
      <c r="Z232" s="271"/>
      <c r="AB232" s="273" t="str">
        <f t="shared" si="35"/>
        <v/>
      </c>
    </row>
    <row r="233" spans="1:28" s="272" customFormat="1" ht="20.399999999999999">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3"/>
        <v/>
      </c>
      <c r="T233" s="222" t="str">
        <f ca="1">IF(B233="","",IF(ISERROR(MATCH($J233,SorP!$B$1:$B$6230,0)),"",INDIRECT("'SorP'!$A$"&amp;MATCH($J233,SorP!$B$1:$B$6230,0))))</f>
        <v/>
      </c>
      <c r="U233" s="238"/>
      <c r="V233" s="270" t="e">
        <f>IF(C233="",NA(),MATCH($B233&amp;$C233,'Smelter Look-up'!$J:$J,0))</f>
        <v>#N/A</v>
      </c>
      <c r="W233" s="271"/>
      <c r="X233" s="271">
        <f t="shared" ca="1" si="34"/>
        <v>0</v>
      </c>
      <c r="Y233" s="271"/>
      <c r="Z233" s="271"/>
      <c r="AB233" s="273" t="str">
        <f t="shared" si="35"/>
        <v/>
      </c>
    </row>
    <row r="234" spans="1:28" s="272" customFormat="1" ht="20.399999999999999">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3"/>
        <v/>
      </c>
      <c r="T234" s="222" t="str">
        <f ca="1">IF(B234="","",IF(ISERROR(MATCH($J234,SorP!$B$1:$B$6230,0)),"",INDIRECT("'SorP'!$A$"&amp;MATCH($J234,SorP!$B$1:$B$6230,0))))</f>
        <v/>
      </c>
      <c r="U234" s="238"/>
      <c r="V234" s="270" t="e">
        <f>IF(C234="",NA(),MATCH($B234&amp;$C234,'Smelter Look-up'!$J:$J,0))</f>
        <v>#N/A</v>
      </c>
      <c r="W234" s="271"/>
      <c r="X234" s="271">
        <f t="shared" ca="1" si="34"/>
        <v>0</v>
      </c>
      <c r="Y234" s="271"/>
      <c r="Z234" s="271"/>
      <c r="AB234" s="273" t="str">
        <f t="shared" si="35"/>
        <v/>
      </c>
    </row>
    <row r="235" spans="1:28" s="272" customFormat="1" ht="20.399999999999999">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3"/>
        <v/>
      </c>
      <c r="T235" s="222" t="str">
        <f ca="1">IF(B235="","",IF(ISERROR(MATCH($J235,SorP!$B$1:$B$6230,0)),"",INDIRECT("'SorP'!$A$"&amp;MATCH($J235,SorP!$B$1:$B$6230,0))))</f>
        <v/>
      </c>
      <c r="U235" s="238"/>
      <c r="V235" s="270" t="e">
        <f>IF(C235="",NA(),MATCH($B235&amp;$C235,'Smelter Look-up'!$J:$J,0))</f>
        <v>#N/A</v>
      </c>
      <c r="W235" s="271"/>
      <c r="X235" s="271">
        <f t="shared" ca="1" si="34"/>
        <v>0</v>
      </c>
      <c r="Y235" s="271"/>
      <c r="Z235" s="271"/>
      <c r="AB235" s="273" t="str">
        <f t="shared" si="35"/>
        <v/>
      </c>
    </row>
    <row r="236" spans="1:28" s="272" customFormat="1" ht="20.399999999999999">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3"/>
        <v/>
      </c>
      <c r="T236" s="222" t="str">
        <f ca="1">IF(B236="","",IF(ISERROR(MATCH($J236,SorP!$B$1:$B$6230,0)),"",INDIRECT("'SorP'!$A$"&amp;MATCH($J236,SorP!$B$1:$B$6230,0))))</f>
        <v/>
      </c>
      <c r="U236" s="238"/>
      <c r="V236" s="270" t="e">
        <f>IF(C236="",NA(),MATCH($B236&amp;$C236,'Smelter Look-up'!$J:$J,0))</f>
        <v>#N/A</v>
      </c>
      <c r="W236" s="271"/>
      <c r="X236" s="271">
        <f t="shared" ca="1" si="34"/>
        <v>0</v>
      </c>
      <c r="Y236" s="271"/>
      <c r="Z236" s="271"/>
      <c r="AB236" s="273" t="str">
        <f t="shared" si="35"/>
        <v/>
      </c>
    </row>
    <row r="237" spans="1:28" s="272" customFormat="1" ht="20.399999999999999">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3"/>
        <v/>
      </c>
      <c r="T237" s="222" t="str">
        <f ca="1">IF(B237="","",IF(ISERROR(MATCH($J237,SorP!$B$1:$B$6230,0)),"",INDIRECT("'SorP'!$A$"&amp;MATCH($J237,SorP!$B$1:$B$6230,0))))</f>
        <v/>
      </c>
      <c r="U237" s="238"/>
      <c r="V237" s="270" t="e">
        <f>IF(C237="",NA(),MATCH($B237&amp;$C237,'Smelter Look-up'!$J:$J,0))</f>
        <v>#N/A</v>
      </c>
      <c r="W237" s="271"/>
      <c r="X237" s="271">
        <f t="shared" ca="1" si="34"/>
        <v>0</v>
      </c>
      <c r="Y237" s="271"/>
      <c r="Z237" s="271"/>
      <c r="AB237" s="273" t="str">
        <f t="shared" si="35"/>
        <v/>
      </c>
    </row>
    <row r="238" spans="1:28" s="272" customFormat="1" ht="20.399999999999999">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3"/>
        <v/>
      </c>
      <c r="T238" s="222" t="str">
        <f ca="1">IF(B238="","",IF(ISERROR(MATCH($J238,SorP!$B$1:$B$6230,0)),"",INDIRECT("'SorP'!$A$"&amp;MATCH($J238,SorP!$B$1:$B$6230,0))))</f>
        <v/>
      </c>
      <c r="U238" s="238"/>
      <c r="V238" s="270" t="e">
        <f>IF(C238="",NA(),MATCH($B238&amp;$C238,'Smelter Look-up'!$J:$J,0))</f>
        <v>#N/A</v>
      </c>
      <c r="W238" s="271"/>
      <c r="X238" s="271">
        <f t="shared" ca="1" si="34"/>
        <v>0</v>
      </c>
      <c r="Y238" s="271"/>
      <c r="Z238" s="271"/>
      <c r="AB238" s="273" t="str">
        <f t="shared" si="35"/>
        <v/>
      </c>
    </row>
    <row r="239" spans="1:28" s="272" customFormat="1" ht="20.399999999999999">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3"/>
        <v/>
      </c>
      <c r="T239" s="222" t="str">
        <f ca="1">IF(B239="","",IF(ISERROR(MATCH($J239,SorP!$B$1:$B$6230,0)),"",INDIRECT("'SorP'!$A$"&amp;MATCH($J239,SorP!$B$1:$B$6230,0))))</f>
        <v/>
      </c>
      <c r="U239" s="238"/>
      <c r="V239" s="270" t="e">
        <f>IF(C239="",NA(),MATCH($B239&amp;$C239,'Smelter Look-up'!$J:$J,0))</f>
        <v>#N/A</v>
      </c>
      <c r="W239" s="271"/>
      <c r="X239" s="271">
        <f t="shared" ca="1" si="34"/>
        <v>0</v>
      </c>
      <c r="Y239" s="271"/>
      <c r="Z239" s="271"/>
      <c r="AB239" s="273" t="str">
        <f t="shared" si="35"/>
        <v/>
      </c>
    </row>
    <row r="240" spans="1:28" s="272" customFormat="1" ht="20.399999999999999">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3"/>
        <v/>
      </c>
      <c r="T240" s="222" t="str">
        <f ca="1">IF(B240="","",IF(ISERROR(MATCH($J240,SorP!$B$1:$B$6230,0)),"",INDIRECT("'SorP'!$A$"&amp;MATCH($J240,SorP!$B$1:$B$6230,0))))</f>
        <v/>
      </c>
      <c r="U240" s="238"/>
      <c r="V240" s="270" t="e">
        <f>IF(C240="",NA(),MATCH($B240&amp;$C240,'Smelter Look-up'!$J:$J,0))</f>
        <v>#N/A</v>
      </c>
      <c r="W240" s="271"/>
      <c r="X240" s="271">
        <f t="shared" ca="1" si="34"/>
        <v>0</v>
      </c>
      <c r="Y240" s="271"/>
      <c r="Z240" s="271"/>
      <c r="AB240" s="273" t="str">
        <f t="shared" si="35"/>
        <v/>
      </c>
    </row>
    <row r="241" spans="1:28" s="272" customFormat="1" ht="20.399999999999999">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3"/>
        <v/>
      </c>
      <c r="T241" s="222" t="str">
        <f ca="1">IF(B241="","",IF(ISERROR(MATCH($J241,SorP!$B$1:$B$6230,0)),"",INDIRECT("'SorP'!$A$"&amp;MATCH($J241,SorP!$B$1:$B$6230,0))))</f>
        <v/>
      </c>
      <c r="U241" s="238"/>
      <c r="V241" s="270" t="e">
        <f>IF(C241="",NA(),MATCH($B241&amp;$C241,'Smelter Look-up'!$J:$J,0))</f>
        <v>#N/A</v>
      </c>
      <c r="W241" s="271"/>
      <c r="X241" s="271">
        <f t="shared" ca="1" si="34"/>
        <v>0</v>
      </c>
      <c r="Y241" s="271"/>
      <c r="Z241" s="271"/>
      <c r="AB241" s="273" t="str">
        <f t="shared" si="35"/>
        <v/>
      </c>
    </row>
    <row r="242" spans="1:28" s="272" customFormat="1" ht="20.399999999999999">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3"/>
        <v/>
      </c>
      <c r="T242" s="222" t="str">
        <f ca="1">IF(B242="","",IF(ISERROR(MATCH($J242,SorP!$B$1:$B$6230,0)),"",INDIRECT("'SorP'!$A$"&amp;MATCH($J242,SorP!$B$1:$B$6230,0))))</f>
        <v/>
      </c>
      <c r="U242" s="238"/>
      <c r="V242" s="270" t="e">
        <f>IF(C242="",NA(),MATCH($B242&amp;$C242,'Smelter Look-up'!$J:$J,0))</f>
        <v>#N/A</v>
      </c>
      <c r="W242" s="271"/>
      <c r="X242" s="271">
        <f t="shared" ca="1" si="34"/>
        <v>0</v>
      </c>
      <c r="Y242" s="271"/>
      <c r="Z242" s="271"/>
      <c r="AB242" s="273" t="str">
        <f t="shared" si="35"/>
        <v/>
      </c>
    </row>
    <row r="243" spans="1:28" s="272" customFormat="1" ht="20.399999999999999">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3"/>
        <v/>
      </c>
      <c r="T243" s="222" t="str">
        <f ca="1">IF(B243="","",IF(ISERROR(MATCH($J243,SorP!$B$1:$B$6230,0)),"",INDIRECT("'SorP'!$A$"&amp;MATCH($J243,SorP!$B$1:$B$6230,0))))</f>
        <v/>
      </c>
      <c r="U243" s="238"/>
      <c r="V243" s="270" t="e">
        <f>IF(C243="",NA(),MATCH($B243&amp;$C243,'Smelter Look-up'!$J:$J,0))</f>
        <v>#N/A</v>
      </c>
      <c r="W243" s="271"/>
      <c r="X243" s="271">
        <f t="shared" ca="1" si="34"/>
        <v>0</v>
      </c>
      <c r="Y243" s="271"/>
      <c r="Z243" s="271"/>
      <c r="AB243" s="273" t="str">
        <f t="shared" si="35"/>
        <v/>
      </c>
    </row>
    <row r="244" spans="1:28" s="272" customFormat="1" ht="20.399999999999999">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3"/>
        <v/>
      </c>
      <c r="T244" s="222" t="str">
        <f ca="1">IF(B244="","",IF(ISERROR(MATCH($J244,SorP!$B$1:$B$6230,0)),"",INDIRECT("'SorP'!$A$"&amp;MATCH($J244,SorP!$B$1:$B$6230,0))))</f>
        <v/>
      </c>
      <c r="U244" s="238"/>
      <c r="V244" s="270" t="e">
        <f>IF(C244="",NA(),MATCH($B244&amp;$C244,'Smelter Look-up'!$J:$J,0))</f>
        <v>#N/A</v>
      </c>
      <c r="W244" s="271"/>
      <c r="X244" s="271">
        <f t="shared" ca="1" si="34"/>
        <v>0</v>
      </c>
      <c r="Y244" s="271"/>
      <c r="Z244" s="271"/>
      <c r="AB244" s="273" t="str">
        <f t="shared" si="35"/>
        <v/>
      </c>
    </row>
    <row r="245" spans="1:28" s="272" customFormat="1" ht="20.399999999999999">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3"/>
        <v/>
      </c>
      <c r="T245" s="222" t="str">
        <f ca="1">IF(B245="","",IF(ISERROR(MATCH($J245,SorP!$B$1:$B$6230,0)),"",INDIRECT("'SorP'!$A$"&amp;MATCH($J245,SorP!$B$1:$B$6230,0))))</f>
        <v/>
      </c>
      <c r="U245" s="238"/>
      <c r="V245" s="270" t="e">
        <f>IF(C245="",NA(),MATCH($B245&amp;$C245,'Smelter Look-up'!$J:$J,0))</f>
        <v>#N/A</v>
      </c>
      <c r="W245" s="271"/>
      <c r="X245" s="271">
        <f t="shared" ca="1" si="34"/>
        <v>0</v>
      </c>
      <c r="Y245" s="271"/>
      <c r="Z245" s="271"/>
      <c r="AB245" s="273" t="str">
        <f t="shared" si="35"/>
        <v/>
      </c>
    </row>
    <row r="246" spans="1:28" s="272" customFormat="1" ht="20.399999999999999">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3"/>
        <v/>
      </c>
      <c r="T246" s="222" t="str">
        <f ca="1">IF(B246="","",IF(ISERROR(MATCH($J246,SorP!$B$1:$B$6230,0)),"",INDIRECT("'SorP'!$A$"&amp;MATCH($J246,SorP!$B$1:$B$6230,0))))</f>
        <v/>
      </c>
      <c r="U246" s="238"/>
      <c r="V246" s="270" t="e">
        <f>IF(C246="",NA(),MATCH($B246&amp;$C246,'Smelter Look-up'!$J:$J,0))</f>
        <v>#N/A</v>
      </c>
      <c r="W246" s="271"/>
      <c r="X246" s="271">
        <f t="shared" ca="1" si="34"/>
        <v>0</v>
      </c>
      <c r="Y246" s="271"/>
      <c r="Z246" s="271"/>
      <c r="AB246" s="273" t="str">
        <f t="shared" si="35"/>
        <v/>
      </c>
    </row>
    <row r="247" spans="1:28" s="272" customFormat="1" ht="20.399999999999999">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3"/>
        <v/>
      </c>
      <c r="T247" s="222" t="str">
        <f ca="1">IF(B247="","",IF(ISERROR(MATCH($J247,SorP!$B$1:$B$6230,0)),"",INDIRECT("'SorP'!$A$"&amp;MATCH($J247,SorP!$B$1:$B$6230,0))))</f>
        <v/>
      </c>
      <c r="U247" s="238"/>
      <c r="V247" s="270" t="e">
        <f>IF(C247="",NA(),MATCH($B247&amp;$C247,'Smelter Look-up'!$J:$J,0))</f>
        <v>#N/A</v>
      </c>
      <c r="W247" s="271"/>
      <c r="X247" s="271">
        <f t="shared" ca="1" si="34"/>
        <v>0</v>
      </c>
      <c r="Y247" s="271"/>
      <c r="Z247" s="271"/>
      <c r="AB247" s="273" t="str">
        <f t="shared" si="35"/>
        <v/>
      </c>
    </row>
    <row r="248" spans="1:28" s="272" customFormat="1" ht="20.399999999999999">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3"/>
        <v/>
      </c>
      <c r="T248" s="222" t="str">
        <f ca="1">IF(B248="","",IF(ISERROR(MATCH($J248,SorP!$B$1:$B$6230,0)),"",INDIRECT("'SorP'!$A$"&amp;MATCH($J248,SorP!$B$1:$B$6230,0))))</f>
        <v/>
      </c>
      <c r="U248" s="238"/>
      <c r="V248" s="270" t="e">
        <f>IF(C248="",NA(),MATCH($B248&amp;$C248,'Smelter Look-up'!$J:$J,0))</f>
        <v>#N/A</v>
      </c>
      <c r="W248" s="271"/>
      <c r="X248" s="271">
        <f t="shared" ca="1" si="34"/>
        <v>0</v>
      </c>
      <c r="Y248" s="271"/>
      <c r="Z248" s="271"/>
      <c r="AB248" s="273" t="str">
        <f t="shared" si="35"/>
        <v/>
      </c>
    </row>
    <row r="249" spans="1:28" s="272" customFormat="1" ht="20.399999999999999">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3"/>
        <v/>
      </c>
      <c r="T249" s="222" t="str">
        <f ca="1">IF(B249="","",IF(ISERROR(MATCH($J249,SorP!$B$1:$B$6230,0)),"",INDIRECT("'SorP'!$A$"&amp;MATCH($J249,SorP!$B$1:$B$6230,0))))</f>
        <v/>
      </c>
      <c r="U249" s="238"/>
      <c r="V249" s="270" t="e">
        <f>IF(C249="",NA(),MATCH($B249&amp;$C249,'Smelter Look-up'!$J:$J,0))</f>
        <v>#N/A</v>
      </c>
      <c r="W249" s="271"/>
      <c r="X249" s="271">
        <f t="shared" ca="1" si="34"/>
        <v>0</v>
      </c>
      <c r="Y249" s="271"/>
      <c r="Z249" s="271"/>
      <c r="AB249" s="273" t="str">
        <f t="shared" si="35"/>
        <v/>
      </c>
    </row>
    <row r="250" spans="1:28" s="272" customFormat="1" ht="20.399999999999999">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3"/>
        <v/>
      </c>
      <c r="T250" s="222" t="str">
        <f ca="1">IF(B250="","",IF(ISERROR(MATCH($J250,SorP!$B$1:$B$6230,0)),"",INDIRECT("'SorP'!$A$"&amp;MATCH($J250,SorP!$B$1:$B$6230,0))))</f>
        <v/>
      </c>
      <c r="U250" s="238"/>
      <c r="V250" s="270" t="e">
        <f>IF(C250="",NA(),MATCH($B250&amp;$C250,'Smelter Look-up'!$J:$J,0))</f>
        <v>#N/A</v>
      </c>
      <c r="W250" s="271"/>
      <c r="X250" s="271">
        <f t="shared" ca="1" si="34"/>
        <v>0</v>
      </c>
      <c r="Y250" s="271"/>
      <c r="Z250" s="271"/>
      <c r="AB250" s="273" t="str">
        <f t="shared" si="35"/>
        <v/>
      </c>
    </row>
    <row r="251" spans="1:28" s="272" customFormat="1" ht="20.399999999999999">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3"/>
        <v/>
      </c>
      <c r="T251" s="222" t="str">
        <f ca="1">IF(B251="","",IF(ISERROR(MATCH($J251,SorP!$B$1:$B$6230,0)),"",INDIRECT("'SorP'!$A$"&amp;MATCH($J251,SorP!$B$1:$B$6230,0))))</f>
        <v/>
      </c>
      <c r="U251" s="238"/>
      <c r="V251" s="270" t="e">
        <f>IF(C251="",NA(),MATCH($B251&amp;$C251,'Smelter Look-up'!$J:$J,0))</f>
        <v>#N/A</v>
      </c>
      <c r="W251" s="271"/>
      <c r="X251" s="271">
        <f t="shared" ca="1" si="34"/>
        <v>0</v>
      </c>
      <c r="Y251" s="271"/>
      <c r="Z251" s="271"/>
      <c r="AB251" s="273" t="str">
        <f t="shared" si="35"/>
        <v/>
      </c>
    </row>
    <row r="252" spans="1:28" s="272" customFormat="1" ht="20.399999999999999">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3"/>
        <v/>
      </c>
      <c r="T252" s="222" t="str">
        <f ca="1">IF(B252="","",IF(ISERROR(MATCH($J252,SorP!$B$1:$B$6230,0)),"",INDIRECT("'SorP'!$A$"&amp;MATCH($J252,SorP!$B$1:$B$6230,0))))</f>
        <v/>
      </c>
      <c r="U252" s="238"/>
      <c r="V252" s="270" t="e">
        <f>IF(C252="",NA(),MATCH($B252&amp;$C252,'Smelter Look-up'!$J:$J,0))</f>
        <v>#N/A</v>
      </c>
      <c r="W252" s="271"/>
      <c r="X252" s="271">
        <f t="shared" ca="1" si="34"/>
        <v>0</v>
      </c>
      <c r="Y252" s="271"/>
      <c r="Z252" s="271"/>
      <c r="AB252" s="273" t="str">
        <f t="shared" si="35"/>
        <v/>
      </c>
    </row>
    <row r="253" spans="1:28" s="272" customFormat="1" ht="20.399999999999999">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3"/>
        <v/>
      </c>
      <c r="T253" s="222" t="str">
        <f ca="1">IF(B253="","",IF(ISERROR(MATCH($J253,SorP!$B$1:$B$6230,0)),"",INDIRECT("'SorP'!$A$"&amp;MATCH($J253,SorP!$B$1:$B$6230,0))))</f>
        <v/>
      </c>
      <c r="U253" s="238"/>
      <c r="V253" s="270" t="e">
        <f>IF(C253="",NA(),MATCH($B253&amp;$C253,'Smelter Look-up'!$J:$J,0))</f>
        <v>#N/A</v>
      </c>
      <c r="W253" s="271"/>
      <c r="X253" s="271">
        <f t="shared" ca="1" si="34"/>
        <v>0</v>
      </c>
      <c r="Y253" s="271"/>
      <c r="Z253" s="271"/>
      <c r="AB253" s="273" t="str">
        <f t="shared" si="35"/>
        <v/>
      </c>
    </row>
    <row r="254" spans="1:28" s="272" customFormat="1" ht="20.399999999999999">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3"/>
        <v/>
      </c>
      <c r="T254" s="222" t="str">
        <f ca="1">IF(B254="","",IF(ISERROR(MATCH($J254,SorP!$B$1:$B$6230,0)),"",INDIRECT("'SorP'!$A$"&amp;MATCH($J254,SorP!$B$1:$B$6230,0))))</f>
        <v/>
      </c>
      <c r="U254" s="238"/>
      <c r="V254" s="270" t="e">
        <f>IF(C254="",NA(),MATCH($B254&amp;$C254,'Smelter Look-up'!$J:$J,0))</f>
        <v>#N/A</v>
      </c>
      <c r="W254" s="271"/>
      <c r="X254" s="271">
        <f t="shared" ca="1" si="34"/>
        <v>0</v>
      </c>
      <c r="Y254" s="271"/>
      <c r="Z254" s="271"/>
      <c r="AB254" s="273" t="str">
        <f t="shared" si="35"/>
        <v/>
      </c>
    </row>
    <row r="255" spans="1:28" s="272" customFormat="1" ht="20.399999999999999">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3"/>
        <v/>
      </c>
      <c r="T255" s="222" t="str">
        <f ca="1">IF(B255="","",IF(ISERROR(MATCH($J255,SorP!$B$1:$B$6230,0)),"",INDIRECT("'SorP'!$A$"&amp;MATCH($J255,SorP!$B$1:$B$6230,0))))</f>
        <v/>
      </c>
      <c r="U255" s="238"/>
      <c r="V255" s="270" t="e">
        <f>IF(C255="",NA(),MATCH($B255&amp;$C255,'Smelter Look-up'!$J:$J,0))</f>
        <v>#N/A</v>
      </c>
      <c r="W255" s="271"/>
      <c r="X255" s="271">
        <f t="shared" ca="1" si="34"/>
        <v>0</v>
      </c>
      <c r="Y255" s="271"/>
      <c r="Z255" s="271"/>
      <c r="AB255" s="273" t="str">
        <f t="shared" si="35"/>
        <v/>
      </c>
    </row>
    <row r="256" spans="1:28" s="272" customFormat="1" ht="20.399999999999999">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3"/>
        <v/>
      </c>
      <c r="T256" s="222" t="str">
        <f ca="1">IF(B256="","",IF(ISERROR(MATCH($J256,SorP!$B$1:$B$6230,0)),"",INDIRECT("'SorP'!$A$"&amp;MATCH($J256,SorP!$B$1:$B$6230,0))))</f>
        <v/>
      </c>
      <c r="U256" s="238"/>
      <c r="V256" s="270" t="e">
        <f>IF(C256="",NA(),MATCH($B256&amp;$C256,'Smelter Look-up'!$J:$J,0))</f>
        <v>#N/A</v>
      </c>
      <c r="W256" s="271"/>
      <c r="X256" s="271">
        <f t="shared" ca="1" si="34"/>
        <v>0</v>
      </c>
      <c r="Y256" s="271"/>
      <c r="Z256" s="271"/>
      <c r="AB256" s="273" t="str">
        <f t="shared" si="35"/>
        <v/>
      </c>
    </row>
    <row r="257" spans="1:28" s="272" customFormat="1" ht="20.399999999999999">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3"/>
        <v/>
      </c>
      <c r="T257" s="222" t="str">
        <f ca="1">IF(B257="","",IF(ISERROR(MATCH($J257,SorP!$B$1:$B$6230,0)),"",INDIRECT("'SorP'!$A$"&amp;MATCH($J257,SorP!$B$1:$B$6230,0))))</f>
        <v/>
      </c>
      <c r="U257" s="238"/>
      <c r="V257" s="270" t="e">
        <f>IF(C257="",NA(),MATCH($B257&amp;$C257,'Smelter Look-up'!$J:$J,0))</f>
        <v>#N/A</v>
      </c>
      <c r="W257" s="271"/>
      <c r="X257" s="271">
        <f t="shared" ca="1" si="34"/>
        <v>0</v>
      </c>
      <c r="Y257" s="271"/>
      <c r="Z257" s="271"/>
      <c r="AB257" s="273" t="str">
        <f t="shared" si="35"/>
        <v/>
      </c>
    </row>
    <row r="258" spans="1:28" s="272" customFormat="1" ht="20.399999999999999">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3"/>
        <v/>
      </c>
      <c r="T258" s="222" t="str">
        <f ca="1">IF(B258="","",IF(ISERROR(MATCH($J258,SorP!$B$1:$B$6230,0)),"",INDIRECT("'SorP'!$A$"&amp;MATCH($J258,SorP!$B$1:$B$6230,0))))</f>
        <v/>
      </c>
      <c r="U258" s="238"/>
      <c r="V258" s="270" t="e">
        <f>IF(C258="",NA(),MATCH($B258&amp;$C258,'Smelter Look-up'!$J:$J,0))</f>
        <v>#N/A</v>
      </c>
      <c r="W258" s="271"/>
      <c r="X258" s="271">
        <f t="shared" ca="1" si="34"/>
        <v>0</v>
      </c>
      <c r="Y258" s="271"/>
      <c r="Z258" s="271"/>
      <c r="AB258" s="273" t="str">
        <f t="shared" si="35"/>
        <v/>
      </c>
    </row>
    <row r="259" spans="1:28" s="272" customFormat="1" ht="20.399999999999999">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3"/>
        <v/>
      </c>
      <c r="T259" s="222" t="str">
        <f ca="1">IF(B259="","",IF(ISERROR(MATCH($J259,SorP!$B$1:$B$6230,0)),"",INDIRECT("'SorP'!$A$"&amp;MATCH($J259,SorP!$B$1:$B$6230,0))))</f>
        <v/>
      </c>
      <c r="U259" s="238"/>
      <c r="V259" s="270" t="e">
        <f>IF(C259="",NA(),MATCH($B259&amp;$C259,'Smelter Look-up'!$J:$J,0))</f>
        <v>#N/A</v>
      </c>
      <c r="W259" s="271"/>
      <c r="X259" s="271">
        <f t="shared" ca="1" si="34"/>
        <v>0</v>
      </c>
      <c r="Y259" s="271"/>
      <c r="Z259" s="271"/>
      <c r="AB259" s="273" t="str">
        <f t="shared" si="35"/>
        <v/>
      </c>
    </row>
    <row r="260" spans="1:28" s="272" customFormat="1" ht="20.399999999999999">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3"/>
        <v/>
      </c>
      <c r="T260" s="222" t="str">
        <f ca="1">IF(B260="","",IF(ISERROR(MATCH($J260,SorP!$B$1:$B$6230,0)),"",INDIRECT("'SorP'!$A$"&amp;MATCH($J260,SorP!$B$1:$B$6230,0))))</f>
        <v/>
      </c>
      <c r="U260" s="238"/>
      <c r="V260" s="270" t="e">
        <f>IF(C260="",NA(),MATCH($B260&amp;$C260,'Smelter Look-up'!$J:$J,0))</f>
        <v>#N/A</v>
      </c>
      <c r="W260" s="271"/>
      <c r="X260" s="271">
        <f t="shared" ca="1" si="34"/>
        <v>0</v>
      </c>
      <c r="Y260" s="271"/>
      <c r="Z260" s="271"/>
      <c r="AB260" s="273" t="str">
        <f t="shared" si="35"/>
        <v/>
      </c>
    </row>
    <row r="261" spans="1:28" s="272" customFormat="1" ht="20.399999999999999">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ref="S261" ca="1" si="36">IF(B261="","",IF(ISERROR(MATCH($E261,CL,0)),"Unknown",INDIRECT("'C'!$A$"&amp;MATCH($E261,CL,0)+1)))</f>
        <v/>
      </c>
      <c r="T261" s="222" t="str">
        <f ca="1">IF(B261="","",IF(ISERROR(MATCH($J261,SorP!$B$1:$B$6230,0)),"",INDIRECT("'SorP'!$A$"&amp;MATCH($J261,SorP!$B$1:$B$6230,0))))</f>
        <v/>
      </c>
      <c r="U261" s="238"/>
      <c r="V261" s="270" t="e">
        <f>IF(C261="",NA(),MATCH($B261&amp;$C261,'Smelter Look-up'!$J:$J,0))</f>
        <v>#N/A</v>
      </c>
      <c r="W261" s="271"/>
      <c r="X261" s="271">
        <f t="shared" ref="X261" ca="1" si="37">IF(AND(C261="Smelter not listed",OR(LEN(D261)=0,LEN(E261)=0)),1,0)</f>
        <v>0</v>
      </c>
      <c r="Y261" s="271"/>
      <c r="Z261" s="271"/>
      <c r="AB261" s="273" t="str">
        <f t="shared" ref="AB261" si="38">B261&amp;C261</f>
        <v/>
      </c>
    </row>
    <row r="262" spans="1:28" s="272" customFormat="1" ht="20.399999999999999">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ref="S262:S293" ca="1" si="39">IF(B262="","",IF(ISERROR(MATCH($E262,CL,0)),"Unknown",INDIRECT("'C'!$A$"&amp;MATCH($E262,CL,0)+1)))</f>
        <v/>
      </c>
      <c r="T262" s="222" t="str">
        <f ca="1">IF(B262="","",IF(ISERROR(MATCH($J262,SorP!$B$1:$B$6230,0)),"",INDIRECT("'SorP'!$A$"&amp;MATCH($J262,SorP!$B$1:$B$6230,0))))</f>
        <v/>
      </c>
      <c r="U262" s="238"/>
      <c r="V262" s="270" t="e">
        <f>IF(C262="",NA(),MATCH($B262&amp;$C262,'Smelter Look-up'!$J:$J,0))</f>
        <v>#N/A</v>
      </c>
      <c r="W262" s="271"/>
      <c r="X262" s="271">
        <f t="shared" ref="X262:X293" ca="1" si="40">IF(AND(C262="Smelter not listed",OR(LEN(D262)=0,LEN(E262)=0)),1,0)</f>
        <v>0</v>
      </c>
      <c r="Y262" s="271"/>
      <c r="Z262" s="271"/>
      <c r="AB262" s="273" t="str">
        <f t="shared" ref="AB262:AB293" si="41">B262&amp;C262</f>
        <v/>
      </c>
    </row>
    <row r="263" spans="1:28" s="272" customFormat="1" ht="20.399999999999999">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399999999999999">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ca="1" si="40"/>
        <v>0</v>
      </c>
      <c r="Y264" s="271"/>
      <c r="Z264" s="271"/>
      <c r="AB264" s="273" t="str">
        <f t="shared" si="41"/>
        <v/>
      </c>
    </row>
    <row r="265" spans="1:28" s="272" customFormat="1" ht="20.399999999999999">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ca="1" si="40"/>
        <v>0</v>
      </c>
      <c r="Y265" s="271"/>
      <c r="Z265" s="271"/>
      <c r="AB265" s="273" t="str">
        <f t="shared" si="41"/>
        <v/>
      </c>
    </row>
    <row r="266" spans="1:28" s="272" customFormat="1" ht="20.399999999999999">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ca="1" si="40"/>
        <v>0</v>
      </c>
      <c r="Y266" s="271"/>
      <c r="Z266" s="271"/>
      <c r="AB266" s="273" t="str">
        <f t="shared" si="41"/>
        <v/>
      </c>
    </row>
    <row r="267" spans="1:28" s="272" customFormat="1" ht="20.399999999999999">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ca="1" si="40"/>
        <v>0</v>
      </c>
      <c r="Y267" s="271"/>
      <c r="Z267" s="271"/>
      <c r="AB267" s="273" t="str">
        <f t="shared" si="41"/>
        <v/>
      </c>
    </row>
    <row r="268" spans="1:28" s="272" customFormat="1" ht="20.399999999999999">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ca="1" si="40"/>
        <v>0</v>
      </c>
      <c r="Y268" s="271"/>
      <c r="Z268" s="271"/>
      <c r="AB268" s="273" t="str">
        <f t="shared" si="41"/>
        <v/>
      </c>
    </row>
    <row r="269" spans="1:28" s="272" customFormat="1" ht="20.399999999999999">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ca="1" si="40"/>
        <v>0</v>
      </c>
      <c r="Y269" s="271"/>
      <c r="Z269" s="271"/>
      <c r="AB269" s="273" t="str">
        <f t="shared" si="41"/>
        <v/>
      </c>
    </row>
    <row r="270" spans="1:28" s="272" customFormat="1" ht="20.399999999999999">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ca="1" si="40"/>
        <v>0</v>
      </c>
      <c r="Y270" s="271"/>
      <c r="Z270" s="271"/>
      <c r="AB270" s="273" t="str">
        <f t="shared" si="41"/>
        <v/>
      </c>
    </row>
    <row r="271" spans="1:28" s="272" customFormat="1" ht="20.399999999999999">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ca="1" si="40"/>
        <v>0</v>
      </c>
      <c r="Y271" s="271"/>
      <c r="Z271" s="271"/>
      <c r="AB271" s="273" t="str">
        <f t="shared" si="41"/>
        <v/>
      </c>
    </row>
    <row r="272" spans="1:28" s="272" customFormat="1" ht="20.399999999999999">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ca="1" si="40"/>
        <v>0</v>
      </c>
      <c r="Y272" s="271"/>
      <c r="Z272" s="271"/>
      <c r="AB272" s="273" t="str">
        <f t="shared" si="41"/>
        <v/>
      </c>
    </row>
    <row r="273" spans="1:28" s="272" customFormat="1" ht="20.399999999999999">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ca="1" si="40"/>
        <v>0</v>
      </c>
      <c r="Y273" s="271"/>
      <c r="Z273" s="271"/>
      <c r="AB273" s="273" t="str">
        <f t="shared" si="41"/>
        <v/>
      </c>
    </row>
    <row r="274" spans="1:28" s="272" customFormat="1" ht="20.399999999999999">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ca="1" si="40"/>
        <v>0</v>
      </c>
      <c r="Y274" s="271"/>
      <c r="Z274" s="271"/>
      <c r="AB274" s="273" t="str">
        <f t="shared" si="41"/>
        <v/>
      </c>
    </row>
    <row r="275" spans="1:28" s="272" customFormat="1" ht="20.399999999999999">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399999999999999">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399999999999999">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ca="1" si="40"/>
        <v>0</v>
      </c>
      <c r="Y277" s="271"/>
      <c r="Z277" s="271"/>
      <c r="AB277" s="273" t="str">
        <f t="shared" si="41"/>
        <v/>
      </c>
    </row>
    <row r="278" spans="1:28" s="272" customFormat="1" ht="20.399999999999999">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ca="1" si="40"/>
        <v>0</v>
      </c>
      <c r="Y278" s="271"/>
      <c r="Z278" s="271"/>
      <c r="AB278" s="273" t="str">
        <f t="shared" si="41"/>
        <v/>
      </c>
    </row>
    <row r="279" spans="1:28" s="272" customFormat="1" ht="20.399999999999999">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ca="1" si="40"/>
        <v>0</v>
      </c>
      <c r="Y279" s="271"/>
      <c r="Z279" s="271"/>
      <c r="AB279" s="273" t="str">
        <f t="shared" si="41"/>
        <v/>
      </c>
    </row>
    <row r="280" spans="1:28" s="272" customFormat="1" ht="20.399999999999999">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399999999999999">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399999999999999">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399999999999999">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399999999999999">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399999999999999">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399999999999999">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399999999999999">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ca="1" si="40"/>
        <v>0</v>
      </c>
      <c r="Y287" s="271"/>
      <c r="Z287" s="271"/>
      <c r="AB287" s="273" t="str">
        <f t="shared" si="41"/>
        <v/>
      </c>
    </row>
    <row r="288" spans="1:28" s="272" customFormat="1" ht="20.399999999999999">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ca="1" si="40"/>
        <v>0</v>
      </c>
      <c r="Y288" s="271"/>
      <c r="Z288" s="271"/>
      <c r="AB288" s="273" t="str">
        <f t="shared" si="41"/>
        <v/>
      </c>
    </row>
    <row r="289" spans="1:28" s="272" customFormat="1" ht="20.399999999999999">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ca="1" si="40"/>
        <v>0</v>
      </c>
      <c r="Y289" s="271"/>
      <c r="Z289" s="271"/>
      <c r="AB289" s="273" t="str">
        <f t="shared" si="41"/>
        <v/>
      </c>
    </row>
    <row r="290" spans="1:28" s="272" customFormat="1" ht="20.399999999999999">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39"/>
        <v/>
      </c>
      <c r="T290" s="222" t="str">
        <f ca="1">IF(B290="","",IF(ISERROR(MATCH($J290,SorP!$B$1:$B$6230,0)),"",INDIRECT("'SorP'!$A$"&amp;MATCH($J290,SorP!$B$1:$B$6230,0))))</f>
        <v/>
      </c>
      <c r="U290" s="238"/>
      <c r="V290" s="270" t="e">
        <f>IF(C290="",NA(),MATCH($B290&amp;$C290,'Smelter Look-up'!$J:$J,0))</f>
        <v>#N/A</v>
      </c>
      <c r="W290" s="271"/>
      <c r="X290" s="271">
        <f t="shared" ca="1" si="40"/>
        <v>0</v>
      </c>
      <c r="Y290" s="271"/>
      <c r="Z290" s="271"/>
      <c r="AB290" s="273" t="str">
        <f t="shared" si="41"/>
        <v/>
      </c>
    </row>
    <row r="291" spans="1:28" s="272" customFormat="1" ht="20.399999999999999">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39"/>
        <v/>
      </c>
      <c r="T291" s="222" t="str">
        <f ca="1">IF(B291="","",IF(ISERROR(MATCH($J291,SorP!$B$1:$B$6230,0)),"",INDIRECT("'SorP'!$A$"&amp;MATCH($J291,SorP!$B$1:$B$6230,0))))</f>
        <v/>
      </c>
      <c r="U291" s="238"/>
      <c r="V291" s="270" t="e">
        <f>IF(C291="",NA(),MATCH($B291&amp;$C291,'Smelter Look-up'!$J:$J,0))</f>
        <v>#N/A</v>
      </c>
      <c r="W291" s="271"/>
      <c r="X291" s="271">
        <f t="shared" ca="1" si="40"/>
        <v>0</v>
      </c>
      <c r="Y291" s="271"/>
      <c r="Z291" s="271"/>
      <c r="AB291" s="273" t="str">
        <f t="shared" si="41"/>
        <v/>
      </c>
    </row>
    <row r="292" spans="1:28" s="272" customFormat="1" ht="20.399999999999999">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39"/>
        <v/>
      </c>
      <c r="T292" s="222" t="str">
        <f ca="1">IF(B292="","",IF(ISERROR(MATCH($J292,SorP!$B$1:$B$6230,0)),"",INDIRECT("'SorP'!$A$"&amp;MATCH($J292,SorP!$B$1:$B$6230,0))))</f>
        <v/>
      </c>
      <c r="U292" s="238"/>
      <c r="V292" s="270" t="e">
        <f>IF(C292="",NA(),MATCH($B292&amp;$C292,'Smelter Look-up'!$J:$J,0))</f>
        <v>#N/A</v>
      </c>
      <c r="W292" s="271"/>
      <c r="X292" s="271">
        <f t="shared" ca="1" si="40"/>
        <v>0</v>
      </c>
      <c r="Y292" s="271"/>
      <c r="Z292" s="271"/>
      <c r="AB292" s="273" t="str">
        <f t="shared" si="41"/>
        <v/>
      </c>
    </row>
    <row r="293" spans="1:28" s="272" customFormat="1" ht="20.399999999999999">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39"/>
        <v/>
      </c>
      <c r="T293" s="222" t="str">
        <f ca="1">IF(B293="","",IF(ISERROR(MATCH($J293,SorP!$B$1:$B$6230,0)),"",INDIRECT("'SorP'!$A$"&amp;MATCH($J293,SorP!$B$1:$B$6230,0))))</f>
        <v/>
      </c>
      <c r="U293" s="238"/>
      <c r="V293" s="270" t="e">
        <f>IF(C293="",NA(),MATCH($B293&amp;$C293,'Smelter Look-up'!$J:$J,0))</f>
        <v>#N/A</v>
      </c>
      <c r="W293" s="271"/>
      <c r="X293" s="271">
        <f t="shared" ca="1" si="40"/>
        <v>0</v>
      </c>
      <c r="Y293" s="271"/>
      <c r="Z293" s="271"/>
      <c r="AB293" s="273" t="str">
        <f t="shared" si="41"/>
        <v/>
      </c>
    </row>
    <row r="294" spans="1:28" s="272" customFormat="1" ht="20.399999999999999">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ref="S294:S324" ca="1" si="42">IF(B294="","",IF(ISERROR(MATCH($E294,CL,0)),"Unknown",INDIRECT("'C'!$A$"&amp;MATCH($E294,CL,0)+1)))</f>
        <v/>
      </c>
      <c r="T294" s="222" t="str">
        <f ca="1">IF(B294="","",IF(ISERROR(MATCH($J294,SorP!$B$1:$B$6230,0)),"",INDIRECT("'SorP'!$A$"&amp;MATCH($J294,SorP!$B$1:$B$6230,0))))</f>
        <v/>
      </c>
      <c r="U294" s="238"/>
      <c r="V294" s="270" t="e">
        <f>IF(C294="",NA(),MATCH($B294&amp;$C294,'Smelter Look-up'!$J:$J,0))</f>
        <v>#N/A</v>
      </c>
      <c r="W294" s="271"/>
      <c r="X294" s="271">
        <f t="shared" ref="X294:X324" ca="1" si="43">IF(AND(C294="Smelter not listed",OR(LEN(D294)=0,LEN(E294)=0)),1,0)</f>
        <v>0</v>
      </c>
      <c r="Y294" s="271"/>
      <c r="Z294" s="271"/>
      <c r="AB294" s="273" t="str">
        <f t="shared" ref="AB294:AB324" si="44">B294&amp;C294</f>
        <v/>
      </c>
    </row>
    <row r="295" spans="1:28" s="272" customFormat="1" ht="20.399999999999999">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399999999999999">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399999999999999">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399999999999999">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399999999999999">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399999999999999">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399999999999999">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399999999999999">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399999999999999">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399999999999999">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399999999999999">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399999999999999">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399999999999999">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399999999999999">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0.399999999999999">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0.399999999999999">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0.399999999999999">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0.399999999999999">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0.399999999999999">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0.399999999999999">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0.399999999999999">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0.399999999999999">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20.399999999999999">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ca="1" si="43"/>
        <v>0</v>
      </c>
      <c r="Y317" s="271"/>
      <c r="Z317" s="271"/>
      <c r="AB317" s="273" t="str">
        <f t="shared" si="44"/>
        <v/>
      </c>
    </row>
    <row r="318" spans="1:28" s="272" customFormat="1" ht="20.399999999999999">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ca="1" si="43"/>
        <v>0</v>
      </c>
      <c r="Y318" s="271"/>
      <c r="Z318" s="271"/>
      <c r="AB318" s="273" t="str">
        <f t="shared" si="44"/>
        <v/>
      </c>
    </row>
    <row r="319" spans="1:28" s="272" customFormat="1" ht="20.399999999999999">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ca="1" si="43"/>
        <v>0</v>
      </c>
      <c r="Y319" s="271"/>
      <c r="Z319" s="271"/>
      <c r="AB319" s="273" t="str">
        <f t="shared" si="44"/>
        <v/>
      </c>
    </row>
    <row r="320" spans="1:28" s="272" customFormat="1" ht="20.399999999999999">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2"/>
        <v/>
      </c>
      <c r="T320" s="222" t="str">
        <f ca="1">IF(B320="","",IF(ISERROR(MATCH($J320,SorP!$B$1:$B$6230,0)),"",INDIRECT("'SorP'!$A$"&amp;MATCH($J320,SorP!$B$1:$B$6230,0))))</f>
        <v/>
      </c>
      <c r="U320" s="238"/>
      <c r="V320" s="270" t="e">
        <f>IF(C320="",NA(),MATCH($B320&amp;$C320,'Smelter Look-up'!$J:$J,0))</f>
        <v>#N/A</v>
      </c>
      <c r="W320" s="271"/>
      <c r="X320" s="271">
        <f t="shared" ca="1" si="43"/>
        <v>0</v>
      </c>
      <c r="Y320" s="271"/>
      <c r="Z320" s="271"/>
      <c r="AB320" s="273" t="str">
        <f t="shared" si="44"/>
        <v/>
      </c>
    </row>
    <row r="321" spans="1:28" s="272" customFormat="1" ht="20.399999999999999">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2"/>
        <v/>
      </c>
      <c r="T321" s="222" t="str">
        <f ca="1">IF(B321="","",IF(ISERROR(MATCH($J321,SorP!$B$1:$B$6230,0)),"",INDIRECT("'SorP'!$A$"&amp;MATCH($J321,SorP!$B$1:$B$6230,0))))</f>
        <v/>
      </c>
      <c r="U321" s="238"/>
      <c r="V321" s="270" t="e">
        <f>IF(C321="",NA(),MATCH($B321&amp;$C321,'Smelter Look-up'!$J:$J,0))</f>
        <v>#N/A</v>
      </c>
      <c r="W321" s="271"/>
      <c r="X321" s="271">
        <f t="shared" ca="1" si="43"/>
        <v>0</v>
      </c>
      <c r="Y321" s="271"/>
      <c r="Z321" s="271"/>
      <c r="AB321" s="273" t="str">
        <f t="shared" si="44"/>
        <v/>
      </c>
    </row>
    <row r="322" spans="1:28" s="272" customFormat="1" ht="20.399999999999999">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2"/>
        <v/>
      </c>
      <c r="T322" s="222" t="str">
        <f ca="1">IF(B322="","",IF(ISERROR(MATCH($J322,SorP!$B$1:$B$6230,0)),"",INDIRECT("'SorP'!$A$"&amp;MATCH($J322,SorP!$B$1:$B$6230,0))))</f>
        <v/>
      </c>
      <c r="U322" s="238"/>
      <c r="V322" s="270" t="e">
        <f>IF(C322="",NA(),MATCH($B322&amp;$C322,'Smelter Look-up'!$J:$J,0))</f>
        <v>#N/A</v>
      </c>
      <c r="W322" s="271"/>
      <c r="X322" s="271">
        <f t="shared" ca="1" si="43"/>
        <v>0</v>
      </c>
      <c r="Y322" s="271"/>
      <c r="Z322" s="271"/>
      <c r="AB322" s="273" t="str">
        <f t="shared" si="44"/>
        <v/>
      </c>
    </row>
    <row r="323" spans="1:28" s="272" customFormat="1" ht="20.399999999999999">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2"/>
        <v/>
      </c>
      <c r="T323" s="222" t="str">
        <f ca="1">IF(B323="","",IF(ISERROR(MATCH($J323,SorP!$B$1:$B$6230,0)),"",INDIRECT("'SorP'!$A$"&amp;MATCH($J323,SorP!$B$1:$B$6230,0))))</f>
        <v/>
      </c>
      <c r="U323" s="238"/>
      <c r="V323" s="270" t="e">
        <f>IF(C323="",NA(),MATCH($B323&amp;$C323,'Smelter Look-up'!$J:$J,0))</f>
        <v>#N/A</v>
      </c>
      <c r="W323" s="271"/>
      <c r="X323" s="271">
        <f t="shared" ca="1" si="43"/>
        <v>0</v>
      </c>
      <c r="Y323" s="271"/>
      <c r="Z323" s="271"/>
      <c r="AB323" s="273" t="str">
        <f t="shared" si="44"/>
        <v/>
      </c>
    </row>
    <row r="324" spans="1:28" s="272" customFormat="1" ht="20.399999999999999">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2"/>
        <v/>
      </c>
      <c r="T324" s="222" t="str">
        <f ca="1">IF(B324="","",IF(ISERROR(MATCH($J324,SorP!$B$1:$B$6230,0)),"",INDIRECT("'SorP'!$A$"&amp;MATCH($J324,SorP!$B$1:$B$6230,0))))</f>
        <v/>
      </c>
      <c r="U324" s="238"/>
      <c r="V324" s="270" t="e">
        <f>IF(C324="",NA(),MATCH($B324&amp;$C324,'Smelter Look-up'!$J:$J,0))</f>
        <v>#N/A</v>
      </c>
      <c r="W324" s="271"/>
      <c r="X324" s="271">
        <f t="shared" ca="1" si="43"/>
        <v>0</v>
      </c>
      <c r="Y324" s="271"/>
      <c r="Z324" s="271"/>
      <c r="AB324" s="273" t="str">
        <f t="shared" si="44"/>
        <v/>
      </c>
    </row>
    <row r="325" spans="1:28" s="272" customFormat="1" ht="20.399999999999999">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ref="S325" ca="1" si="45">IF(B325="","",IF(ISERROR(MATCH($E325,CL,0)),"Unknown",INDIRECT("'C'!$A$"&amp;MATCH($E325,CL,0)+1)))</f>
        <v/>
      </c>
      <c r="T325" s="222" t="str">
        <f ca="1">IF(B325="","",IF(ISERROR(MATCH($J325,SorP!$B$1:$B$6230,0)),"",INDIRECT("'SorP'!$A$"&amp;MATCH($J325,SorP!$B$1:$B$6230,0))))</f>
        <v/>
      </c>
      <c r="U325" s="238"/>
      <c r="V325" s="270" t="e">
        <f>IF(C325="",NA(),MATCH($B325&amp;$C325,'Smelter Look-up'!$J:$J,0))</f>
        <v>#N/A</v>
      </c>
      <c r="W325" s="271"/>
      <c r="X325" s="271">
        <f t="shared" ref="X325" ca="1" si="46">IF(AND(C325="Smelter not listed",OR(LEN(D325)=0,LEN(E325)=0)),1,0)</f>
        <v>0</v>
      </c>
      <c r="Y325" s="271"/>
      <c r="Z325" s="271"/>
      <c r="AB325" s="273" t="str">
        <f t="shared" ref="AB325" si="47">B325&amp;C325</f>
        <v/>
      </c>
    </row>
    <row r="326" spans="1:28" s="272" customFormat="1" ht="20.399999999999999">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ref="S326:S357" ca="1" si="48">IF(B326="","",IF(ISERROR(MATCH($E326,CL,0)),"Unknown",INDIRECT("'C'!$A$"&amp;MATCH($E326,CL,0)+1)))</f>
        <v/>
      </c>
      <c r="T326" s="222" t="str">
        <f ca="1">IF(B326="","",IF(ISERROR(MATCH($J326,SorP!$B$1:$B$6230,0)),"",INDIRECT("'SorP'!$A$"&amp;MATCH($J326,SorP!$B$1:$B$6230,0))))</f>
        <v/>
      </c>
      <c r="U326" s="238"/>
      <c r="V326" s="270" t="e">
        <f>IF(C326="",NA(),MATCH($B326&amp;$C326,'Smelter Look-up'!$J:$J,0))</f>
        <v>#N/A</v>
      </c>
      <c r="W326" s="271"/>
      <c r="X326" s="271">
        <f t="shared" ref="X326:X357" ca="1" si="49">IF(AND(C326="Smelter not listed",OR(LEN(D326)=0,LEN(E326)=0)),1,0)</f>
        <v>0</v>
      </c>
      <c r="Y326" s="271"/>
      <c r="Z326" s="271"/>
      <c r="AB326" s="273" t="str">
        <f t="shared" ref="AB326:AB357" si="50">B326&amp;C326</f>
        <v/>
      </c>
    </row>
    <row r="327" spans="1:28" s="272" customFormat="1" ht="20.399999999999999">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399999999999999">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399999999999999">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399999999999999">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399999999999999">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399999999999999">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399999999999999">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399999999999999">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399999999999999">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399999999999999">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399999999999999">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399999999999999">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399999999999999">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399999999999999">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399999999999999">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399999999999999">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399999999999999">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399999999999999">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399999999999999">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399999999999999">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399999999999999">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399999999999999">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399999999999999">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399999999999999">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399999999999999">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399999999999999">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399999999999999">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399999999999999">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20.399999999999999">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48"/>
        <v/>
      </c>
      <c r="T355" s="222" t="str">
        <f ca="1">IF(B355="","",IF(ISERROR(MATCH($J355,SorP!$B$1:$B$6230,0)),"",INDIRECT("'SorP'!$A$"&amp;MATCH($J355,SorP!$B$1:$B$6230,0))))</f>
        <v/>
      </c>
      <c r="U355" s="238"/>
      <c r="V355" s="270" t="e">
        <f>IF(C355="",NA(),MATCH($B355&amp;$C355,'Smelter Look-up'!$J:$J,0))</f>
        <v>#N/A</v>
      </c>
      <c r="W355" s="271"/>
      <c r="X355" s="271">
        <f t="shared" ca="1" si="49"/>
        <v>0</v>
      </c>
      <c r="Y355" s="271"/>
      <c r="Z355" s="271"/>
      <c r="AB355" s="273" t="str">
        <f t="shared" si="50"/>
        <v/>
      </c>
    </row>
    <row r="356" spans="1:28" s="272" customFormat="1" ht="20.399999999999999">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48"/>
        <v/>
      </c>
      <c r="T356" s="222" t="str">
        <f ca="1">IF(B356="","",IF(ISERROR(MATCH($J356,SorP!$B$1:$B$6230,0)),"",INDIRECT("'SorP'!$A$"&amp;MATCH($J356,SorP!$B$1:$B$6230,0))))</f>
        <v/>
      </c>
      <c r="U356" s="238"/>
      <c r="V356" s="270" t="e">
        <f>IF(C356="",NA(),MATCH($B356&amp;$C356,'Smelter Look-up'!$J:$J,0))</f>
        <v>#N/A</v>
      </c>
      <c r="W356" s="271"/>
      <c r="X356" s="271">
        <f t="shared" ca="1" si="49"/>
        <v>0</v>
      </c>
      <c r="Y356" s="271"/>
      <c r="Z356" s="271"/>
      <c r="AB356" s="273" t="str">
        <f t="shared" si="50"/>
        <v/>
      </c>
    </row>
    <row r="357" spans="1:28" s="272" customFormat="1" ht="20.399999999999999">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48"/>
        <v/>
      </c>
      <c r="T357" s="222" t="str">
        <f ca="1">IF(B357="","",IF(ISERROR(MATCH($J357,SorP!$B$1:$B$6230,0)),"",INDIRECT("'SorP'!$A$"&amp;MATCH($J357,SorP!$B$1:$B$6230,0))))</f>
        <v/>
      </c>
      <c r="U357" s="238"/>
      <c r="V357" s="270" t="e">
        <f>IF(C357="",NA(),MATCH($B357&amp;$C357,'Smelter Look-up'!$J:$J,0))</f>
        <v>#N/A</v>
      </c>
      <c r="W357" s="271"/>
      <c r="X357" s="271">
        <f t="shared" ca="1" si="49"/>
        <v>0</v>
      </c>
      <c r="Y357" s="271"/>
      <c r="Z357" s="271"/>
      <c r="AB357" s="273" t="str">
        <f t="shared" si="50"/>
        <v/>
      </c>
    </row>
    <row r="358" spans="1:28" s="272" customFormat="1" ht="20.399999999999999">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ref="S358:S388" ca="1" si="51">IF(B358="","",IF(ISERROR(MATCH($E358,CL,0)),"Unknown",INDIRECT("'C'!$A$"&amp;MATCH($E358,CL,0)+1)))</f>
        <v/>
      </c>
      <c r="T358" s="222" t="str">
        <f ca="1">IF(B358="","",IF(ISERROR(MATCH($J358,SorP!$B$1:$B$6230,0)),"",INDIRECT("'SorP'!$A$"&amp;MATCH($J358,SorP!$B$1:$B$6230,0))))</f>
        <v/>
      </c>
      <c r="U358" s="238"/>
      <c r="V358" s="270" t="e">
        <f>IF(C358="",NA(),MATCH($B358&amp;$C358,'Smelter Look-up'!$J:$J,0))</f>
        <v>#N/A</v>
      </c>
      <c r="W358" s="271"/>
      <c r="X358" s="271">
        <f t="shared" ref="X358:X388" ca="1" si="52">IF(AND(C358="Smelter not listed",OR(LEN(D358)=0,LEN(E358)=0)),1,0)</f>
        <v>0</v>
      </c>
      <c r="Y358" s="271"/>
      <c r="Z358" s="271"/>
      <c r="AB358" s="273" t="str">
        <f t="shared" ref="AB358:AB388" si="53">B358&amp;C358</f>
        <v/>
      </c>
    </row>
    <row r="359" spans="1:28" s="272" customFormat="1" ht="20.399999999999999">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399999999999999">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399999999999999">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399999999999999">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399999999999999">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399999999999999">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399999999999999">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399999999999999">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399999999999999">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399999999999999">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399999999999999">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399999999999999">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399999999999999">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399999999999999">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399999999999999">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399999999999999">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399999999999999">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399999999999999">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399999999999999">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399999999999999">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399999999999999">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399999999999999">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399999999999999">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399999999999999">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399999999999999">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399999999999999">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20.399999999999999">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20.399999999999999">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1"/>
        <v/>
      </c>
      <c r="T386" s="222" t="str">
        <f ca="1">IF(B386="","",IF(ISERROR(MATCH($J386,SorP!$B$1:$B$6230,0)),"",INDIRECT("'SorP'!$A$"&amp;MATCH($J386,SorP!$B$1:$B$6230,0))))</f>
        <v/>
      </c>
      <c r="U386" s="238"/>
      <c r="V386" s="270" t="e">
        <f>IF(C386="",NA(),MATCH($B386&amp;$C386,'Smelter Look-up'!$J:$J,0))</f>
        <v>#N/A</v>
      </c>
      <c r="W386" s="271"/>
      <c r="X386" s="271">
        <f t="shared" ca="1" si="52"/>
        <v>0</v>
      </c>
      <c r="Y386" s="271"/>
      <c r="Z386" s="271"/>
      <c r="AB386" s="273" t="str">
        <f t="shared" si="53"/>
        <v/>
      </c>
    </row>
    <row r="387" spans="1:28" s="272" customFormat="1" ht="20.399999999999999">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1"/>
        <v/>
      </c>
      <c r="T387" s="222" t="str">
        <f ca="1">IF(B387="","",IF(ISERROR(MATCH($J387,SorP!$B$1:$B$6230,0)),"",INDIRECT("'SorP'!$A$"&amp;MATCH($J387,SorP!$B$1:$B$6230,0))))</f>
        <v/>
      </c>
      <c r="U387" s="238"/>
      <c r="V387" s="270" t="e">
        <f>IF(C387="",NA(),MATCH($B387&amp;$C387,'Smelter Look-up'!$J:$J,0))</f>
        <v>#N/A</v>
      </c>
      <c r="W387" s="271"/>
      <c r="X387" s="271">
        <f t="shared" ca="1" si="52"/>
        <v>0</v>
      </c>
      <c r="Y387" s="271"/>
      <c r="Z387" s="271"/>
      <c r="AB387" s="273" t="str">
        <f t="shared" si="53"/>
        <v/>
      </c>
    </row>
    <row r="388" spans="1:28" s="272" customFormat="1" ht="20.399999999999999">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1"/>
        <v/>
      </c>
      <c r="T388" s="222" t="str">
        <f ca="1">IF(B388="","",IF(ISERROR(MATCH($J388,SorP!$B$1:$B$6230,0)),"",INDIRECT("'SorP'!$A$"&amp;MATCH($J388,SorP!$B$1:$B$6230,0))))</f>
        <v/>
      </c>
      <c r="U388" s="238"/>
      <c r="V388" s="270" t="e">
        <f>IF(C388="",NA(),MATCH($B388&amp;$C388,'Smelter Look-up'!$J:$J,0))</f>
        <v>#N/A</v>
      </c>
      <c r="W388" s="271"/>
      <c r="X388" s="271">
        <f t="shared" ca="1" si="52"/>
        <v>0</v>
      </c>
      <c r="Y388" s="271"/>
      <c r="Z388" s="271"/>
      <c r="AB388" s="273" t="str">
        <f t="shared" si="53"/>
        <v/>
      </c>
    </row>
    <row r="389" spans="1:28" s="272" customFormat="1" ht="20.399999999999999">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ref="S389" ca="1" si="54">IF(B389="","",IF(ISERROR(MATCH($E389,CL,0)),"Unknown",INDIRECT("'C'!$A$"&amp;MATCH($E389,CL,0)+1)))</f>
        <v/>
      </c>
      <c r="T389" s="222" t="str">
        <f ca="1">IF(B389="","",IF(ISERROR(MATCH($J389,SorP!$B$1:$B$6230,0)),"",INDIRECT("'SorP'!$A$"&amp;MATCH($J389,SorP!$B$1:$B$6230,0))))</f>
        <v/>
      </c>
      <c r="U389" s="238"/>
      <c r="V389" s="270" t="e">
        <f>IF(C389="",NA(),MATCH($B389&amp;$C389,'Smelter Look-up'!$J:$J,0))</f>
        <v>#N/A</v>
      </c>
      <c r="W389" s="271"/>
      <c r="X389" s="271">
        <f t="shared" ref="X389" ca="1" si="55">IF(AND(C389="Smelter not listed",OR(LEN(D389)=0,LEN(E389)=0)),1,0)</f>
        <v>0</v>
      </c>
      <c r="Y389" s="271"/>
      <c r="Z389" s="271"/>
      <c r="AB389" s="273" t="str">
        <f t="shared" ref="AB389" si="56">B389&amp;C389</f>
        <v/>
      </c>
    </row>
    <row r="390" spans="1:28" s="272" customFormat="1" ht="20.399999999999999">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ref="S390:S421" ca="1" si="57">IF(B390="","",IF(ISERROR(MATCH($E390,CL,0)),"Unknown",INDIRECT("'C'!$A$"&amp;MATCH($E390,CL,0)+1)))</f>
        <v/>
      </c>
      <c r="T390" s="222" t="str">
        <f ca="1">IF(B390="","",IF(ISERROR(MATCH($J390,SorP!$B$1:$B$6230,0)),"",INDIRECT("'SorP'!$A$"&amp;MATCH($J390,SorP!$B$1:$B$6230,0))))</f>
        <v/>
      </c>
      <c r="U390" s="238"/>
      <c r="V390" s="270" t="e">
        <f>IF(C390="",NA(),MATCH($B390&amp;$C390,'Smelter Look-up'!$J:$J,0))</f>
        <v>#N/A</v>
      </c>
      <c r="W390" s="271"/>
      <c r="X390" s="271">
        <f t="shared" ref="X390:X421" ca="1" si="58">IF(AND(C390="Smelter not listed",OR(LEN(D390)=0,LEN(E390)=0)),1,0)</f>
        <v>0</v>
      </c>
      <c r="Y390" s="271"/>
      <c r="Z390" s="271"/>
      <c r="AB390" s="273" t="str">
        <f t="shared" ref="AB390:AB421" si="59">B390&amp;C390</f>
        <v/>
      </c>
    </row>
    <row r="391" spans="1:28" s="272" customFormat="1" ht="20.399999999999999">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399999999999999">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399999999999999">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399999999999999">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399999999999999">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399999999999999">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399999999999999">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399999999999999">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399999999999999">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399999999999999">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399999999999999">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399999999999999">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399999999999999">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399999999999999">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399999999999999">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399999999999999">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399999999999999">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399999999999999">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399999999999999">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399999999999999">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399999999999999">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399999999999999">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399999999999999">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399999999999999">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399999999999999">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399999999999999">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399999999999999">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399999999999999">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399999999999999">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399999999999999">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57"/>
        <v/>
      </c>
      <c r="T420" s="222" t="str">
        <f ca="1">IF(B420="","",IF(ISERROR(MATCH($J420,SorP!$B$1:$B$6230,0)),"",INDIRECT("'SorP'!$A$"&amp;MATCH($J420,SorP!$B$1:$B$6230,0))))</f>
        <v/>
      </c>
      <c r="U420" s="238"/>
      <c r="V420" s="270" t="e">
        <f>IF(C420="",NA(),MATCH($B420&amp;$C420,'Smelter Look-up'!$J:$J,0))</f>
        <v>#N/A</v>
      </c>
      <c r="W420" s="271"/>
      <c r="X420" s="271">
        <f t="shared" ca="1" si="58"/>
        <v>0</v>
      </c>
      <c r="Y420" s="271"/>
      <c r="Z420" s="271"/>
      <c r="AB420" s="273" t="str">
        <f t="shared" si="59"/>
        <v/>
      </c>
    </row>
    <row r="421" spans="1:28" s="272" customFormat="1" ht="20.399999999999999">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57"/>
        <v/>
      </c>
      <c r="T421" s="222" t="str">
        <f ca="1">IF(B421="","",IF(ISERROR(MATCH($J421,SorP!$B$1:$B$6230,0)),"",INDIRECT("'SorP'!$A$"&amp;MATCH($J421,SorP!$B$1:$B$6230,0))))</f>
        <v/>
      </c>
      <c r="U421" s="238"/>
      <c r="V421" s="270" t="e">
        <f>IF(C421="",NA(),MATCH($B421&amp;$C421,'Smelter Look-up'!$J:$J,0))</f>
        <v>#N/A</v>
      </c>
      <c r="W421" s="271"/>
      <c r="X421" s="271">
        <f t="shared" ca="1" si="58"/>
        <v>0</v>
      </c>
      <c r="Y421" s="271"/>
      <c r="Z421" s="271"/>
      <c r="AB421" s="273" t="str">
        <f t="shared" si="59"/>
        <v/>
      </c>
    </row>
    <row r="422" spans="1:28" s="272" customFormat="1" ht="20.399999999999999">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61">IF(AND(C422="Smelter not listed",OR(LEN(D422)=0,LEN(E422)=0)),1,0)</f>
        <v>0</v>
      </c>
      <c r="Y422" s="271"/>
      <c r="Z422" s="271"/>
      <c r="AB422" s="273" t="str">
        <f t="shared" ref="AB422:AB452" si="62">B422&amp;C422</f>
        <v/>
      </c>
    </row>
    <row r="423" spans="1:28" s="272" customFormat="1" ht="20.399999999999999">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399999999999999">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399999999999999">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399999999999999">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399999999999999">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399999999999999">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399999999999999">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399999999999999">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399999999999999">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399999999999999">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399999999999999">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399999999999999">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399999999999999">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399999999999999">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399999999999999">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399999999999999">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399999999999999">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399999999999999">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399999999999999">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399999999999999">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399999999999999">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399999999999999">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399999999999999">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399999999999999">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399999999999999">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399999999999999">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399999999999999">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399999999999999">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20.399999999999999">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0"/>
        <v/>
      </c>
      <c r="T451" s="222" t="str">
        <f ca="1">IF(B451="","",IF(ISERROR(MATCH($J451,SorP!$B$1:$B$6230,0)),"",INDIRECT("'SorP'!$A$"&amp;MATCH($J451,SorP!$B$1:$B$6230,0))))</f>
        <v/>
      </c>
      <c r="U451" s="238"/>
      <c r="V451" s="270" t="e">
        <f>IF(C451="",NA(),MATCH($B451&amp;$C451,'Smelter Look-up'!$J:$J,0))</f>
        <v>#N/A</v>
      </c>
      <c r="W451" s="271"/>
      <c r="X451" s="271">
        <f t="shared" ca="1" si="61"/>
        <v>0</v>
      </c>
      <c r="Y451" s="271"/>
      <c r="Z451" s="271"/>
      <c r="AB451" s="273" t="str">
        <f t="shared" si="62"/>
        <v/>
      </c>
    </row>
    <row r="452" spans="1:28" s="272" customFormat="1" ht="20.399999999999999">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0"/>
        <v/>
      </c>
      <c r="T452" s="222" t="str">
        <f ca="1">IF(B452="","",IF(ISERROR(MATCH($J452,SorP!$B$1:$B$6230,0)),"",INDIRECT("'SorP'!$A$"&amp;MATCH($J452,SorP!$B$1:$B$6230,0))))</f>
        <v/>
      </c>
      <c r="U452" s="238"/>
      <c r="V452" s="270" t="e">
        <f>IF(C452="",NA(),MATCH($B452&amp;$C452,'Smelter Look-up'!$J:$J,0))</f>
        <v>#N/A</v>
      </c>
      <c r="W452" s="271"/>
      <c r="X452" s="271">
        <f t="shared" ca="1" si="61"/>
        <v>0</v>
      </c>
      <c r="Y452" s="271"/>
      <c r="Z452" s="271"/>
      <c r="AB452" s="273" t="str">
        <f t="shared" si="62"/>
        <v/>
      </c>
    </row>
    <row r="453" spans="1:28" s="272" customFormat="1" ht="20.399999999999999">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70" t="e">
        <f>IF(C453="",NA(),MATCH($B453&amp;$C453,'Smelter Look-up'!$J:$J,0))</f>
        <v>#N/A</v>
      </c>
      <c r="W453" s="271"/>
      <c r="X453" s="271">
        <f t="shared" ref="X453" ca="1" si="64">IF(AND(C453="Smelter not listed",OR(LEN(D453)=0,LEN(E453)=0)),1,0)</f>
        <v>0</v>
      </c>
      <c r="Y453" s="271"/>
      <c r="Z453" s="271"/>
      <c r="AB453" s="273" t="str">
        <f t="shared" ref="AB453" si="65">B453&amp;C453</f>
        <v/>
      </c>
    </row>
    <row r="454" spans="1:28" s="272" customFormat="1" ht="20.399999999999999">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67">IF(AND(C454="Smelter not listed",OR(LEN(D454)=0,LEN(E454)=0)),1,0)</f>
        <v>0</v>
      </c>
      <c r="Y454" s="271"/>
      <c r="Z454" s="271"/>
      <c r="AB454" s="273" t="str">
        <f t="shared" ref="AB454:AB485" si="68">B454&amp;C454</f>
        <v/>
      </c>
    </row>
    <row r="455" spans="1:28" s="272" customFormat="1" ht="20.399999999999999">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399999999999999">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399999999999999">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399999999999999">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399999999999999">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399999999999999">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399999999999999">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399999999999999">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399999999999999">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399999999999999">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399999999999999">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399999999999999">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399999999999999">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399999999999999">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399999999999999">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399999999999999">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399999999999999">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399999999999999">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399999999999999">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399999999999999">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399999999999999">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399999999999999">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399999999999999">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399999999999999">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399999999999999">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399999999999999">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399999999999999">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399999999999999">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399999999999999">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20.399999999999999">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6"/>
        <v/>
      </c>
      <c r="T484" s="222" t="str">
        <f ca="1">IF(B484="","",IF(ISERROR(MATCH($J484,SorP!$B$1:$B$6230,0)),"",INDIRECT("'SorP'!$A$"&amp;MATCH($J484,SorP!$B$1:$B$6230,0))))</f>
        <v/>
      </c>
      <c r="U484" s="238"/>
      <c r="V484" s="270" t="e">
        <f>IF(C484="",NA(),MATCH($B484&amp;$C484,'Smelter Look-up'!$J:$J,0))</f>
        <v>#N/A</v>
      </c>
      <c r="W484" s="271"/>
      <c r="X484" s="271">
        <f t="shared" ca="1" si="67"/>
        <v>0</v>
      </c>
      <c r="Y484" s="271"/>
      <c r="Z484" s="271"/>
      <c r="AB484" s="273" t="str">
        <f t="shared" si="68"/>
        <v/>
      </c>
    </row>
    <row r="485" spans="1:28" s="272" customFormat="1" ht="20.399999999999999">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6"/>
        <v/>
      </c>
      <c r="T485" s="222" t="str">
        <f ca="1">IF(B485="","",IF(ISERROR(MATCH($J485,SorP!$B$1:$B$6230,0)),"",INDIRECT("'SorP'!$A$"&amp;MATCH($J485,SorP!$B$1:$B$6230,0))))</f>
        <v/>
      </c>
      <c r="U485" s="238"/>
      <c r="V485" s="270" t="e">
        <f>IF(C485="",NA(),MATCH($B485&amp;$C485,'Smelter Look-up'!$J:$J,0))</f>
        <v>#N/A</v>
      </c>
      <c r="W485" s="271"/>
      <c r="X485" s="271">
        <f t="shared" ca="1" si="67"/>
        <v>0</v>
      </c>
      <c r="Y485" s="271"/>
      <c r="Z485" s="271"/>
      <c r="AB485" s="273" t="str">
        <f t="shared" si="68"/>
        <v/>
      </c>
    </row>
    <row r="486" spans="1:28" s="272" customFormat="1" ht="20.399999999999999">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70">IF(AND(C486="Smelter not listed",OR(LEN(D486)=0,LEN(E486)=0)),1,0)</f>
        <v>0</v>
      </c>
      <c r="Y486" s="271"/>
      <c r="Z486" s="271"/>
      <c r="AB486" s="273" t="str">
        <f t="shared" ref="AB486:AB516" si="71">B486&amp;C486</f>
        <v/>
      </c>
    </row>
    <row r="487" spans="1:28" s="272" customFormat="1" ht="20.399999999999999">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399999999999999">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399999999999999">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399999999999999">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399999999999999">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399999999999999">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399999999999999">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399999999999999">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399999999999999">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399999999999999">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399999999999999">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399999999999999">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399999999999999">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399999999999999">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399999999999999">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399999999999999">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399999999999999">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399999999999999">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399999999999999">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399999999999999">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399999999999999">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399999999999999">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399999999999999">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399999999999999">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399999999999999">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399999999999999">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399999999999999">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399999999999999">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20.399999999999999">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69"/>
        <v/>
      </c>
      <c r="T515" s="222" t="str">
        <f ca="1">IF(B515="","",IF(ISERROR(MATCH($J515,SorP!$B$1:$B$6230,0)),"",INDIRECT("'SorP'!$A$"&amp;MATCH($J515,SorP!$B$1:$B$6230,0))))</f>
        <v/>
      </c>
      <c r="U515" s="238"/>
      <c r="V515" s="270" t="e">
        <f>IF(C515="",NA(),MATCH($B515&amp;$C515,'Smelter Look-up'!$J:$J,0))</f>
        <v>#N/A</v>
      </c>
      <c r="W515" s="271"/>
      <c r="X515" s="271">
        <f t="shared" ca="1" si="70"/>
        <v>0</v>
      </c>
      <c r="Y515" s="271"/>
      <c r="Z515" s="271"/>
      <c r="AB515" s="273" t="str">
        <f t="shared" si="71"/>
        <v/>
      </c>
    </row>
    <row r="516" spans="1:28" s="272" customFormat="1" ht="20.399999999999999">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69"/>
        <v/>
      </c>
      <c r="T516" s="222" t="str">
        <f ca="1">IF(B516="","",IF(ISERROR(MATCH($J516,SorP!$B$1:$B$6230,0)),"",INDIRECT("'SorP'!$A$"&amp;MATCH($J516,SorP!$B$1:$B$6230,0))))</f>
        <v/>
      </c>
      <c r="U516" s="238"/>
      <c r="V516" s="270" t="e">
        <f>IF(C516="",NA(),MATCH($B516&amp;$C516,'Smelter Look-up'!$J:$J,0))</f>
        <v>#N/A</v>
      </c>
      <c r="W516" s="271"/>
      <c r="X516" s="271">
        <f t="shared" ca="1" si="70"/>
        <v>0</v>
      </c>
      <c r="Y516" s="271"/>
      <c r="Z516" s="271"/>
      <c r="AB516" s="273" t="str">
        <f t="shared" si="71"/>
        <v/>
      </c>
    </row>
    <row r="517" spans="1:28" s="272" customFormat="1" ht="20.399999999999999">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70" t="e">
        <f>IF(C517="",NA(),MATCH($B517&amp;$C517,'Smelter Look-up'!$J:$J,0))</f>
        <v>#N/A</v>
      </c>
      <c r="W517" s="271"/>
      <c r="X517" s="271">
        <f t="shared" ref="X517" ca="1" si="73">IF(AND(C517="Smelter not listed",OR(LEN(D517)=0,LEN(E517)=0)),1,0)</f>
        <v>0</v>
      </c>
      <c r="Y517" s="271"/>
      <c r="Z517" s="271"/>
      <c r="AB517" s="273" t="str">
        <f t="shared" ref="AB517" si="74">B517&amp;C517</f>
        <v/>
      </c>
    </row>
    <row r="518" spans="1:28" s="272" customFormat="1" ht="20.399999999999999">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76">IF(AND(C518="Smelter not listed",OR(LEN(D518)=0,LEN(E518)=0)),1,0)</f>
        <v>0</v>
      </c>
      <c r="Y518" s="271"/>
      <c r="Z518" s="271"/>
      <c r="AB518" s="273" t="str">
        <f t="shared" ref="AB518:AB549" si="77">B518&amp;C518</f>
        <v/>
      </c>
    </row>
    <row r="519" spans="1:28" s="272" customFormat="1" ht="20.399999999999999">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399999999999999">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399999999999999">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399999999999999">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399999999999999">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399999999999999">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399999999999999">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399999999999999">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399999999999999">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399999999999999">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399999999999999">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399999999999999">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399999999999999">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399999999999999">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399999999999999">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399999999999999">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399999999999999">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399999999999999">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399999999999999">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399999999999999">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399999999999999">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399999999999999">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399999999999999">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399999999999999">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399999999999999">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399999999999999">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399999999999999">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399999999999999">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399999999999999">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399999999999999">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5"/>
        <v/>
      </c>
      <c r="T548" s="222" t="str">
        <f ca="1">IF(B548="","",IF(ISERROR(MATCH($J548,SorP!$B$1:$B$6230,0)),"",INDIRECT("'SorP'!$A$"&amp;MATCH($J548,SorP!$B$1:$B$6230,0))))</f>
        <v/>
      </c>
      <c r="U548" s="238"/>
      <c r="V548" s="270" t="e">
        <f>IF(C548="",NA(),MATCH($B548&amp;$C548,'Smelter Look-up'!$J:$J,0))</f>
        <v>#N/A</v>
      </c>
      <c r="W548" s="271"/>
      <c r="X548" s="271">
        <f t="shared" ca="1" si="76"/>
        <v>0</v>
      </c>
      <c r="Y548" s="271"/>
      <c r="Z548" s="271"/>
      <c r="AB548" s="273" t="str">
        <f t="shared" si="77"/>
        <v/>
      </c>
    </row>
    <row r="549" spans="1:28" s="272" customFormat="1" ht="20.399999999999999">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5"/>
        <v/>
      </c>
      <c r="T549" s="222" t="str">
        <f ca="1">IF(B549="","",IF(ISERROR(MATCH($J549,SorP!$B$1:$B$6230,0)),"",INDIRECT("'SorP'!$A$"&amp;MATCH($J549,SorP!$B$1:$B$6230,0))))</f>
        <v/>
      </c>
      <c r="U549" s="238"/>
      <c r="V549" s="270" t="e">
        <f>IF(C549="",NA(),MATCH($B549&amp;$C549,'Smelter Look-up'!$J:$J,0))</f>
        <v>#N/A</v>
      </c>
      <c r="W549" s="271"/>
      <c r="X549" s="271">
        <f t="shared" ca="1" si="76"/>
        <v>0</v>
      </c>
      <c r="Y549" s="271"/>
      <c r="Z549" s="271"/>
      <c r="AB549" s="273" t="str">
        <f t="shared" si="77"/>
        <v/>
      </c>
    </row>
    <row r="550" spans="1:28" s="272" customFormat="1" ht="20.399999999999999">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79">IF(AND(C550="Smelter not listed",OR(LEN(D550)=0,LEN(E550)=0)),1,0)</f>
        <v>0</v>
      </c>
      <c r="Y550" s="271"/>
      <c r="Z550" s="271"/>
      <c r="AB550" s="273" t="str">
        <f t="shared" ref="AB550:AB580" si="80">B550&amp;C550</f>
        <v/>
      </c>
    </row>
    <row r="551" spans="1:28" s="272" customFormat="1" ht="20.399999999999999">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399999999999999">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399999999999999">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399999999999999">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399999999999999">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399999999999999">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399999999999999">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399999999999999">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399999999999999">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399999999999999">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399999999999999">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399999999999999">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399999999999999">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399999999999999">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399999999999999">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399999999999999">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399999999999999">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399999999999999">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399999999999999">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399999999999999">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399999999999999">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399999999999999">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399999999999999">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399999999999999">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399999999999999">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399999999999999">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399999999999999">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399999999999999">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20.399999999999999">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78"/>
        <v/>
      </c>
      <c r="T579" s="222" t="str">
        <f ca="1">IF(B579="","",IF(ISERROR(MATCH($J579,SorP!$B$1:$B$6230,0)),"",INDIRECT("'SorP'!$A$"&amp;MATCH($J579,SorP!$B$1:$B$6230,0))))</f>
        <v/>
      </c>
      <c r="U579" s="238"/>
      <c r="V579" s="270" t="e">
        <f>IF(C579="",NA(),MATCH($B579&amp;$C579,'Smelter Look-up'!$J:$J,0))</f>
        <v>#N/A</v>
      </c>
      <c r="W579" s="271"/>
      <c r="X579" s="271">
        <f t="shared" ca="1" si="79"/>
        <v>0</v>
      </c>
      <c r="Y579" s="271"/>
      <c r="Z579" s="271"/>
      <c r="AB579" s="273" t="str">
        <f t="shared" si="80"/>
        <v/>
      </c>
    </row>
    <row r="580" spans="1:28" s="272" customFormat="1" ht="20.399999999999999">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78"/>
        <v/>
      </c>
      <c r="T580" s="222" t="str">
        <f ca="1">IF(B580="","",IF(ISERROR(MATCH($J580,SorP!$B$1:$B$6230,0)),"",INDIRECT("'SorP'!$A$"&amp;MATCH($J580,SorP!$B$1:$B$6230,0))))</f>
        <v/>
      </c>
      <c r="U580" s="238"/>
      <c r="V580" s="270" t="e">
        <f>IF(C580="",NA(),MATCH($B580&amp;$C580,'Smelter Look-up'!$J:$J,0))</f>
        <v>#N/A</v>
      </c>
      <c r="W580" s="271"/>
      <c r="X580" s="271">
        <f t="shared" ca="1" si="79"/>
        <v>0</v>
      </c>
      <c r="Y580" s="271"/>
      <c r="Z580" s="271"/>
      <c r="AB580" s="273" t="str">
        <f t="shared" si="80"/>
        <v/>
      </c>
    </row>
    <row r="581" spans="1:28" s="272" customFormat="1" ht="20.399999999999999">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 ca="1" si="82">IF(AND(C581="Smelter not listed",OR(LEN(D581)=0,LEN(E581)=0)),1,0)</f>
        <v>0</v>
      </c>
      <c r="Y581" s="271"/>
      <c r="Z581" s="271"/>
      <c r="AB581" s="273" t="str">
        <f t="shared" ref="AB581" si="83">B581&amp;C581</f>
        <v/>
      </c>
    </row>
    <row r="582" spans="1:28" s="272" customFormat="1" ht="20.399999999999999">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399999999999999">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399999999999999">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70" t="e">
        <f>IF(C584="",NA(),MATCH($B584&amp;$C584,'Smelter Look-up'!$J:$J,0))</f>
        <v>#N/A</v>
      </c>
      <c r="W584" s="271"/>
      <c r="X584" s="271">
        <f ca="1">IF(AND(C584="Smelter not listed",OR(LEN(D584)=0,LEN(E584)=0)),1,0)</f>
        <v>0</v>
      </c>
      <c r="Y584" s="271"/>
      <c r="Z584" s="271"/>
      <c r="AB584" s="273" t="str">
        <f>B584&amp;C584</f>
        <v/>
      </c>
    </row>
    <row r="585" spans="1:28" s="272" customFormat="1" ht="20.399999999999999">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70" t="e">
        <f>IF(C585="",NA(),MATCH($B585&amp;$C585,'Smelter Look-up'!$J:$J,0))</f>
        <v>#N/A</v>
      </c>
      <c r="W585" s="271"/>
      <c r="X585" s="271">
        <f ca="1">IF(AND(C585="Smelter not listed",OR(LEN(D585)=0,LEN(E585)=0)),1,0)</f>
        <v>0</v>
      </c>
      <c r="Y585" s="271"/>
      <c r="Z585" s="271"/>
      <c r="AB585" s="273" t="str">
        <f>B585&amp;C585</f>
        <v/>
      </c>
    </row>
    <row r="586" spans="1:28" s="272" customFormat="1" ht="20.399999999999999">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70" t="e">
        <f>IF(C586="",NA(),MATCH($B586&amp;$C586,'Smelter Look-up'!$J:$J,0))</f>
        <v>#N/A</v>
      </c>
      <c r="W586" s="271"/>
      <c r="X586" s="271">
        <f t="shared" ref="X586" ca="1" si="85">IF(AND(C586="Smelter not listed",OR(LEN(D586)=0,LEN(E586)=0)),1,0)</f>
        <v>0</v>
      </c>
      <c r="Y586" s="271"/>
      <c r="Z586" s="271"/>
      <c r="AB586" s="273" t="str">
        <f t="shared" ref="AB586" si="86">B586&amp;C586</f>
        <v/>
      </c>
    </row>
    <row r="587" spans="1:28" s="272" customFormat="1" ht="20.399999999999999">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88">IF(AND(C587="Smelter not listed",OR(LEN(D587)=0,LEN(E587)=0)),1,0)</f>
        <v>0</v>
      </c>
      <c r="Y587" s="271"/>
      <c r="Z587" s="271"/>
      <c r="AB587" s="273" t="str">
        <f t="shared" ref="AB587:AB634" si="89">B587&amp;C587</f>
        <v/>
      </c>
    </row>
    <row r="588" spans="1:28" s="272" customFormat="1" ht="20.399999999999999">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399999999999999">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399999999999999">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399999999999999">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399999999999999">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399999999999999">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399999999999999">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399999999999999">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399999999999999">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399999999999999">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399999999999999">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399999999999999">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399999999999999">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399999999999999">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399999999999999">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399999999999999">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399999999999999">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399999999999999">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399999999999999">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399999999999999">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399999999999999">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399999999999999">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399999999999999">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399999999999999">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399999999999999">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399999999999999">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399999999999999">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399999999999999">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399999999999999">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399999999999999">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399999999999999">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399999999999999">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399999999999999">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399999999999999">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399999999999999">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399999999999999">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399999999999999">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399999999999999">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399999999999999">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399999999999999">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399999999999999">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399999999999999">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399999999999999">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399999999999999">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399999999999999">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20.399999999999999">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87"/>
        <v/>
      </c>
      <c r="T633" s="222" t="str">
        <f ca="1">IF(B633="","",IF(ISERROR(MATCH($J633,SorP!$B$1:$B$6230,0)),"",INDIRECT("'SorP'!$A$"&amp;MATCH($J633,SorP!$B$1:$B$6230,0))))</f>
        <v/>
      </c>
      <c r="U633" s="238"/>
      <c r="V633" s="270" t="e">
        <f>IF(C633="",NA(),MATCH($B633&amp;$C633,'Smelter Look-up'!$J:$J,0))</f>
        <v>#N/A</v>
      </c>
      <c r="W633" s="271"/>
      <c r="X633" s="271">
        <f t="shared" ca="1" si="88"/>
        <v>0</v>
      </c>
      <c r="Y633" s="271"/>
      <c r="Z633" s="271"/>
      <c r="AB633" s="273" t="str">
        <f t="shared" si="89"/>
        <v/>
      </c>
    </row>
    <row r="634" spans="1:28" s="272" customFormat="1" ht="20.399999999999999">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87"/>
        <v/>
      </c>
      <c r="T634" s="222" t="str">
        <f ca="1">IF(B634="","",IF(ISERROR(MATCH($J634,SorP!$B$1:$B$6230,0)),"",INDIRECT("'SorP'!$A$"&amp;MATCH($J634,SorP!$B$1:$B$6230,0))))</f>
        <v/>
      </c>
      <c r="U634" s="238"/>
      <c r="V634" s="270" t="e">
        <f>IF(C634="",NA(),MATCH($B634&amp;$C634,'Smelter Look-up'!$J:$J,0))</f>
        <v>#N/A</v>
      </c>
      <c r="W634" s="271"/>
      <c r="X634" s="271">
        <f t="shared" ca="1" si="88"/>
        <v>0</v>
      </c>
      <c r="Y634" s="271"/>
      <c r="Z634" s="271"/>
      <c r="AB634" s="273" t="str">
        <f t="shared" si="89"/>
        <v/>
      </c>
    </row>
    <row r="635" spans="1:28" s="272" customFormat="1" ht="20.399999999999999">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70" t="e">
        <f>IF(C635="",NA(),MATCH($B635&amp;$C635,'Smelter Look-up'!$J:$J,0))</f>
        <v>#N/A</v>
      </c>
      <c r="W635" s="271"/>
      <c r="X635" s="271">
        <f t="shared" ref="X635" ca="1" si="91">IF(AND(C635="Smelter not listed",OR(LEN(D635)=0,LEN(E635)=0)),1,0)</f>
        <v>0</v>
      </c>
      <c r="Y635" s="271"/>
      <c r="Z635" s="271"/>
      <c r="AB635" s="273" t="str">
        <f t="shared" ref="AB635" si="92">B635&amp;C635</f>
        <v/>
      </c>
    </row>
    <row r="636" spans="1:28" s="272" customFormat="1" ht="20.399999999999999">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94">IF(AND(C636="Smelter not listed",OR(LEN(D636)=0,LEN(E636)=0)),1,0)</f>
        <v>0</v>
      </c>
      <c r="Y636" s="271"/>
      <c r="Z636" s="271"/>
      <c r="AB636" s="273" t="str">
        <f t="shared" ref="AB636:AB667" si="95">B636&amp;C636</f>
        <v/>
      </c>
    </row>
    <row r="637" spans="1:28" s="272" customFormat="1" ht="20.399999999999999">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399999999999999">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399999999999999">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399999999999999">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399999999999999">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399999999999999">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399999999999999">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399999999999999">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399999999999999">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399999999999999">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399999999999999">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399999999999999">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399999999999999">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399999999999999">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399999999999999">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399999999999999">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399999999999999">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399999999999999">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399999999999999">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399999999999999">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399999999999999">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399999999999999">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399999999999999">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399999999999999">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399999999999999">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399999999999999">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399999999999999">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399999999999999">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399999999999999">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399999999999999">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3"/>
        <v/>
      </c>
      <c r="T666" s="222" t="str">
        <f ca="1">IF(B666="","",IF(ISERROR(MATCH($J666,SorP!$B$1:$B$6230,0)),"",INDIRECT("'SorP'!$A$"&amp;MATCH($J666,SorP!$B$1:$B$6230,0))))</f>
        <v/>
      </c>
      <c r="U666" s="238"/>
      <c r="V666" s="270" t="e">
        <f>IF(C666="",NA(),MATCH($B666&amp;$C666,'Smelter Look-up'!$J:$J,0))</f>
        <v>#N/A</v>
      </c>
      <c r="W666" s="271"/>
      <c r="X666" s="271">
        <f t="shared" ca="1" si="94"/>
        <v>0</v>
      </c>
      <c r="Y666" s="271"/>
      <c r="Z666" s="271"/>
      <c r="AB666" s="273" t="str">
        <f t="shared" si="95"/>
        <v/>
      </c>
    </row>
    <row r="667" spans="1:28" s="272" customFormat="1" ht="20.399999999999999">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3"/>
        <v/>
      </c>
      <c r="T667" s="222" t="str">
        <f ca="1">IF(B667="","",IF(ISERROR(MATCH($J667,SorP!$B$1:$B$6230,0)),"",INDIRECT("'SorP'!$A$"&amp;MATCH($J667,SorP!$B$1:$B$6230,0))))</f>
        <v/>
      </c>
      <c r="U667" s="238"/>
      <c r="V667" s="270" t="e">
        <f>IF(C667="",NA(),MATCH($B667&amp;$C667,'Smelter Look-up'!$J:$J,0))</f>
        <v>#N/A</v>
      </c>
      <c r="W667" s="271"/>
      <c r="X667" s="271">
        <f t="shared" ca="1" si="94"/>
        <v>0</v>
      </c>
      <c r="Y667" s="271"/>
      <c r="Z667" s="271"/>
      <c r="AB667" s="273" t="str">
        <f t="shared" si="95"/>
        <v/>
      </c>
    </row>
    <row r="668" spans="1:28" s="272" customFormat="1" ht="20.399999999999999">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97">IF(AND(C668="Smelter not listed",OR(LEN(D668)=0,LEN(E668)=0)),1,0)</f>
        <v>0</v>
      </c>
      <c r="Y668" s="271"/>
      <c r="Z668" s="271"/>
      <c r="AB668" s="273" t="str">
        <f t="shared" ref="AB668:AB698" si="98">B668&amp;C668</f>
        <v/>
      </c>
    </row>
    <row r="669" spans="1:28" s="272" customFormat="1" ht="20.399999999999999">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399999999999999">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399999999999999">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399999999999999">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399999999999999">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399999999999999">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399999999999999">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399999999999999">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399999999999999">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399999999999999">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399999999999999">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399999999999999">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399999999999999">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399999999999999">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399999999999999">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399999999999999">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399999999999999">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399999999999999">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399999999999999">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399999999999999">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399999999999999">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399999999999999">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399999999999999">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399999999999999">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399999999999999">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399999999999999">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399999999999999">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399999999999999">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20.399999999999999">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6"/>
        <v/>
      </c>
      <c r="T697" s="222" t="str">
        <f ca="1">IF(B697="","",IF(ISERROR(MATCH($J697,SorP!$B$1:$B$6230,0)),"",INDIRECT("'SorP'!$A$"&amp;MATCH($J697,SorP!$B$1:$B$6230,0))))</f>
        <v/>
      </c>
      <c r="U697" s="238"/>
      <c r="V697" s="270" t="e">
        <f>IF(C697="",NA(),MATCH($B697&amp;$C697,'Smelter Look-up'!$J:$J,0))</f>
        <v>#N/A</v>
      </c>
      <c r="W697" s="271"/>
      <c r="X697" s="271">
        <f t="shared" ca="1" si="97"/>
        <v>0</v>
      </c>
      <c r="Y697" s="271"/>
      <c r="Z697" s="271"/>
      <c r="AB697" s="273" t="str">
        <f t="shared" si="98"/>
        <v/>
      </c>
    </row>
    <row r="698" spans="1:28" s="272" customFormat="1" ht="20.399999999999999">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96"/>
        <v/>
      </c>
      <c r="T698" s="222" t="str">
        <f ca="1">IF(B698="","",IF(ISERROR(MATCH($J698,SorP!$B$1:$B$6230,0)),"",INDIRECT("'SorP'!$A$"&amp;MATCH($J698,SorP!$B$1:$B$6230,0))))</f>
        <v/>
      </c>
      <c r="U698" s="238"/>
      <c r="V698" s="270" t="e">
        <f>IF(C698="",NA(),MATCH($B698&amp;$C698,'Smelter Look-up'!$J:$J,0))</f>
        <v>#N/A</v>
      </c>
      <c r="W698" s="271"/>
      <c r="X698" s="271">
        <f t="shared" ca="1" si="97"/>
        <v>0</v>
      </c>
      <c r="Y698" s="271"/>
      <c r="Z698" s="271"/>
      <c r="AB698" s="273" t="str">
        <f t="shared" si="98"/>
        <v/>
      </c>
    </row>
    <row r="699" spans="1:28" s="272" customFormat="1" ht="20.399999999999999">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70" t="e">
        <f>IF(C699="",NA(),MATCH($B699&amp;$C699,'Smelter Look-up'!$J:$J,0))</f>
        <v>#N/A</v>
      </c>
      <c r="W699" s="271"/>
      <c r="X699" s="271">
        <f t="shared" ref="X699" ca="1" si="100">IF(AND(C699="Smelter not listed",OR(LEN(D699)=0,LEN(E699)=0)),1,0)</f>
        <v>0</v>
      </c>
      <c r="Y699" s="271"/>
      <c r="Z699" s="271"/>
      <c r="AB699" s="273" t="str">
        <f t="shared" ref="AB699" si="101">B699&amp;C699</f>
        <v/>
      </c>
    </row>
    <row r="700" spans="1:28" s="272" customFormat="1" ht="20.399999999999999">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103">IF(AND(C700="Smelter not listed",OR(LEN(D700)=0,LEN(E700)=0)),1,0)</f>
        <v>0</v>
      </c>
      <c r="Y700" s="271"/>
      <c r="Z700" s="271"/>
      <c r="AB700" s="273" t="str">
        <f t="shared" ref="AB700:AB731" si="104">B700&amp;C700</f>
        <v/>
      </c>
    </row>
    <row r="701" spans="1:28" s="272" customFormat="1" ht="20.399999999999999">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399999999999999">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399999999999999">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399999999999999">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399999999999999">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399999999999999">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399999999999999">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399999999999999">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399999999999999">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399999999999999">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399999999999999">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399999999999999">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399999999999999">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399999999999999">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399999999999999">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399999999999999">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399999999999999">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399999999999999">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399999999999999">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399999999999999">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399999999999999">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399999999999999">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399999999999999">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399999999999999">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399999999999999">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399999999999999">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399999999999999">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399999999999999">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399999999999999">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399999999999999">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2"/>
        <v/>
      </c>
      <c r="T730" s="222" t="str">
        <f ca="1">IF(B730="","",IF(ISERROR(MATCH($J730,SorP!$B$1:$B$6230,0)),"",INDIRECT("'SorP'!$A$"&amp;MATCH($J730,SorP!$B$1:$B$6230,0))))</f>
        <v/>
      </c>
      <c r="U730" s="238"/>
      <c r="V730" s="270" t="e">
        <f>IF(C730="",NA(),MATCH($B730&amp;$C730,'Smelter Look-up'!$J:$J,0))</f>
        <v>#N/A</v>
      </c>
      <c r="W730" s="271"/>
      <c r="X730" s="271">
        <f t="shared" ca="1" si="103"/>
        <v>0</v>
      </c>
      <c r="Y730" s="271"/>
      <c r="Z730" s="271"/>
      <c r="AB730" s="273" t="str">
        <f t="shared" si="104"/>
        <v/>
      </c>
    </row>
    <row r="731" spans="1:28" s="272" customFormat="1" ht="20.399999999999999">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2"/>
        <v/>
      </c>
      <c r="T731" s="222" t="str">
        <f ca="1">IF(B731="","",IF(ISERROR(MATCH($J731,SorP!$B$1:$B$6230,0)),"",INDIRECT("'SorP'!$A$"&amp;MATCH($J731,SorP!$B$1:$B$6230,0))))</f>
        <v/>
      </c>
      <c r="U731" s="238"/>
      <c r="V731" s="270" t="e">
        <f>IF(C731="",NA(),MATCH($B731&amp;$C731,'Smelter Look-up'!$J:$J,0))</f>
        <v>#N/A</v>
      </c>
      <c r="W731" s="271"/>
      <c r="X731" s="271">
        <f t="shared" ca="1" si="103"/>
        <v>0</v>
      </c>
      <c r="Y731" s="271"/>
      <c r="Z731" s="271"/>
      <c r="AB731" s="273" t="str">
        <f t="shared" si="104"/>
        <v/>
      </c>
    </row>
    <row r="732" spans="1:28" s="272" customFormat="1" ht="20.399999999999999">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106">IF(AND(C732="Smelter not listed",OR(LEN(D732)=0,LEN(E732)=0)),1,0)</f>
        <v>0</v>
      </c>
      <c r="Y732" s="271"/>
      <c r="Z732" s="271"/>
      <c r="AB732" s="273" t="str">
        <f t="shared" ref="AB732:AB762" si="107">B732&amp;C732</f>
        <v/>
      </c>
    </row>
    <row r="733" spans="1:28" s="272" customFormat="1" ht="20.399999999999999">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399999999999999">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399999999999999">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399999999999999">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399999999999999">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399999999999999">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399999999999999">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399999999999999">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399999999999999">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399999999999999">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399999999999999">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399999999999999">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399999999999999">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399999999999999">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399999999999999">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399999999999999">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399999999999999">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399999999999999">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399999999999999">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399999999999999">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399999999999999">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399999999999999">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399999999999999">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399999999999999">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399999999999999">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399999999999999">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399999999999999">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399999999999999">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20.399999999999999">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5"/>
        <v/>
      </c>
      <c r="T761" s="222" t="str">
        <f ca="1">IF(B761="","",IF(ISERROR(MATCH($J761,SorP!$B$1:$B$6230,0)),"",INDIRECT("'SorP'!$A$"&amp;MATCH($J761,SorP!$B$1:$B$6230,0))))</f>
        <v/>
      </c>
      <c r="U761" s="238"/>
      <c r="V761" s="270" t="e">
        <f>IF(C761="",NA(),MATCH($B761&amp;$C761,'Smelter Look-up'!$J:$J,0))</f>
        <v>#N/A</v>
      </c>
      <c r="W761" s="271"/>
      <c r="X761" s="271">
        <f t="shared" ca="1" si="106"/>
        <v>0</v>
      </c>
      <c r="Y761" s="271"/>
      <c r="Z761" s="271"/>
      <c r="AB761" s="273" t="str">
        <f t="shared" si="107"/>
        <v/>
      </c>
    </row>
    <row r="762" spans="1:28" s="272" customFormat="1" ht="20.399999999999999">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05"/>
        <v/>
      </c>
      <c r="T762" s="222" t="str">
        <f ca="1">IF(B762="","",IF(ISERROR(MATCH($J762,SorP!$B$1:$B$6230,0)),"",INDIRECT("'SorP'!$A$"&amp;MATCH($J762,SorP!$B$1:$B$6230,0))))</f>
        <v/>
      </c>
      <c r="U762" s="238"/>
      <c r="V762" s="270" t="e">
        <f>IF(C762="",NA(),MATCH($B762&amp;$C762,'Smelter Look-up'!$J:$J,0))</f>
        <v>#N/A</v>
      </c>
      <c r="W762" s="271"/>
      <c r="X762" s="271">
        <f t="shared" ca="1" si="106"/>
        <v>0</v>
      </c>
      <c r="Y762" s="271"/>
      <c r="Z762" s="271"/>
      <c r="AB762" s="273" t="str">
        <f t="shared" si="107"/>
        <v/>
      </c>
    </row>
    <row r="763" spans="1:28" s="272" customFormat="1" ht="20.399999999999999">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70" t="e">
        <f>IF(C763="",NA(),MATCH($B763&amp;$C763,'Smelter Look-up'!$J:$J,0))</f>
        <v>#N/A</v>
      </c>
      <c r="W763" s="271"/>
      <c r="X763" s="271">
        <f t="shared" ref="X763" ca="1" si="109">IF(AND(C763="Smelter not listed",OR(LEN(D763)=0,LEN(E763)=0)),1,0)</f>
        <v>0</v>
      </c>
      <c r="Y763" s="271"/>
      <c r="Z763" s="271"/>
      <c r="AB763" s="273" t="str">
        <f t="shared" ref="AB763" si="110">B763&amp;C763</f>
        <v/>
      </c>
    </row>
    <row r="764" spans="1:28" s="272" customFormat="1" ht="20.399999999999999">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112">IF(AND(C764="Smelter not listed",OR(LEN(D764)=0,LEN(E764)=0)),1,0)</f>
        <v>0</v>
      </c>
      <c r="Y764" s="271"/>
      <c r="Z764" s="271"/>
      <c r="AB764" s="273" t="str">
        <f t="shared" ref="AB764:AB795" si="113">B764&amp;C764</f>
        <v/>
      </c>
    </row>
    <row r="765" spans="1:28" s="272" customFormat="1" ht="20.399999999999999">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399999999999999">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399999999999999">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399999999999999">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399999999999999">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399999999999999">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399999999999999">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399999999999999">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399999999999999">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399999999999999">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399999999999999">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399999999999999">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399999999999999">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399999999999999">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399999999999999">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399999999999999">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399999999999999">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399999999999999">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399999999999999">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399999999999999">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399999999999999">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399999999999999">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399999999999999">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399999999999999">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399999999999999">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399999999999999">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399999999999999">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399999999999999">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399999999999999">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399999999999999">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1"/>
        <v/>
      </c>
      <c r="T794" s="222" t="str">
        <f ca="1">IF(B794="","",IF(ISERROR(MATCH($J794,SorP!$B$1:$B$6230,0)),"",INDIRECT("'SorP'!$A$"&amp;MATCH($J794,SorP!$B$1:$B$6230,0))))</f>
        <v/>
      </c>
      <c r="U794" s="238"/>
      <c r="V794" s="270" t="e">
        <f>IF(C794="",NA(),MATCH($B794&amp;$C794,'Smelter Look-up'!$J:$J,0))</f>
        <v>#N/A</v>
      </c>
      <c r="W794" s="271"/>
      <c r="X794" s="271">
        <f t="shared" ca="1" si="112"/>
        <v>0</v>
      </c>
      <c r="Y794" s="271"/>
      <c r="Z794" s="271"/>
      <c r="AB794" s="273" t="str">
        <f t="shared" si="113"/>
        <v/>
      </c>
    </row>
    <row r="795" spans="1:28" s="272" customFormat="1" ht="20.399999999999999">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1"/>
        <v/>
      </c>
      <c r="T795" s="222" t="str">
        <f ca="1">IF(B795="","",IF(ISERROR(MATCH($J795,SorP!$B$1:$B$6230,0)),"",INDIRECT("'SorP'!$A$"&amp;MATCH($J795,SorP!$B$1:$B$6230,0))))</f>
        <v/>
      </c>
      <c r="U795" s="238"/>
      <c r="V795" s="270" t="e">
        <f>IF(C795="",NA(),MATCH($B795&amp;$C795,'Smelter Look-up'!$J:$J,0))</f>
        <v>#N/A</v>
      </c>
      <c r="W795" s="271"/>
      <c r="X795" s="271">
        <f t="shared" ca="1" si="112"/>
        <v>0</v>
      </c>
      <c r="Y795" s="271"/>
      <c r="Z795" s="271"/>
      <c r="AB795" s="273" t="str">
        <f t="shared" si="113"/>
        <v/>
      </c>
    </row>
    <row r="796" spans="1:28" s="272" customFormat="1" ht="20.399999999999999">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115">IF(AND(C796="Smelter not listed",OR(LEN(D796)=0,LEN(E796)=0)),1,0)</f>
        <v>0</v>
      </c>
      <c r="Y796" s="271"/>
      <c r="Z796" s="271"/>
      <c r="AB796" s="273" t="str">
        <f t="shared" ref="AB796:AB826" si="116">B796&amp;C796</f>
        <v/>
      </c>
    </row>
    <row r="797" spans="1:28" s="272" customFormat="1" ht="20.399999999999999">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399999999999999">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399999999999999">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399999999999999">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399999999999999">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399999999999999">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399999999999999">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399999999999999">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399999999999999">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399999999999999">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399999999999999">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399999999999999">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399999999999999">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399999999999999">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399999999999999">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399999999999999">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399999999999999">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399999999999999">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399999999999999">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399999999999999">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399999999999999">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399999999999999">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399999999999999">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399999999999999">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399999999999999">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399999999999999">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399999999999999">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399999999999999">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20.399999999999999">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4"/>
        <v/>
      </c>
      <c r="T825" s="222" t="str">
        <f ca="1">IF(B825="","",IF(ISERROR(MATCH($J825,SorP!$B$1:$B$6230,0)),"",INDIRECT("'SorP'!$A$"&amp;MATCH($J825,SorP!$B$1:$B$6230,0))))</f>
        <v/>
      </c>
      <c r="U825" s="238"/>
      <c r="V825" s="270" t="e">
        <f>IF(C825="",NA(),MATCH($B825&amp;$C825,'Smelter Look-up'!$J:$J,0))</f>
        <v>#N/A</v>
      </c>
      <c r="W825" s="271"/>
      <c r="X825" s="271">
        <f t="shared" ca="1" si="115"/>
        <v>0</v>
      </c>
      <c r="Y825" s="271"/>
      <c r="Z825" s="271"/>
      <c r="AB825" s="273" t="str">
        <f t="shared" si="116"/>
        <v/>
      </c>
    </row>
    <row r="826" spans="1:28" s="272" customFormat="1" ht="20.399999999999999">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14"/>
        <v/>
      </c>
      <c r="T826" s="222" t="str">
        <f ca="1">IF(B826="","",IF(ISERROR(MATCH($J826,SorP!$B$1:$B$6230,0)),"",INDIRECT("'SorP'!$A$"&amp;MATCH($J826,SorP!$B$1:$B$6230,0))))</f>
        <v/>
      </c>
      <c r="U826" s="238"/>
      <c r="V826" s="270" t="e">
        <f>IF(C826="",NA(),MATCH($B826&amp;$C826,'Smelter Look-up'!$J:$J,0))</f>
        <v>#N/A</v>
      </c>
      <c r="W826" s="271"/>
      <c r="X826" s="271">
        <f t="shared" ca="1" si="115"/>
        <v>0</v>
      </c>
      <c r="Y826" s="271"/>
      <c r="Z826" s="271"/>
      <c r="AB826" s="273" t="str">
        <f t="shared" si="116"/>
        <v/>
      </c>
    </row>
    <row r="827" spans="1:28" s="272" customFormat="1" ht="20.399999999999999">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70" t="e">
        <f>IF(C827="",NA(),MATCH($B827&amp;$C827,'Smelter Look-up'!$J:$J,0))</f>
        <v>#N/A</v>
      </c>
      <c r="W827" s="271"/>
      <c r="X827" s="271">
        <f t="shared" ref="X827" ca="1" si="118">IF(AND(C827="Smelter not listed",OR(LEN(D827)=0,LEN(E827)=0)),1,0)</f>
        <v>0</v>
      </c>
      <c r="Y827" s="271"/>
      <c r="Z827" s="271"/>
      <c r="AB827" s="273" t="str">
        <f t="shared" ref="AB827" si="119">B827&amp;C827</f>
        <v/>
      </c>
    </row>
    <row r="828" spans="1:28" s="272" customFormat="1" ht="20.399999999999999">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121">IF(AND(C828="Smelter not listed",OR(LEN(D828)=0,LEN(E828)=0)),1,0)</f>
        <v>0</v>
      </c>
      <c r="Y828" s="271"/>
      <c r="Z828" s="271"/>
      <c r="AB828" s="273" t="str">
        <f t="shared" ref="AB828:AB859" si="122">B828&amp;C828</f>
        <v/>
      </c>
    </row>
    <row r="829" spans="1:28" s="272" customFormat="1" ht="20.399999999999999">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399999999999999">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399999999999999">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399999999999999">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399999999999999">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399999999999999">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399999999999999">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399999999999999">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399999999999999">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399999999999999">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399999999999999">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399999999999999">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399999999999999">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399999999999999">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399999999999999">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399999999999999">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399999999999999">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399999999999999">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399999999999999">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399999999999999">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399999999999999">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399999999999999">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399999999999999">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399999999999999">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399999999999999">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399999999999999">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399999999999999">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399999999999999">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399999999999999">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399999999999999">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0"/>
        <v/>
      </c>
      <c r="T858" s="222" t="str">
        <f ca="1">IF(B858="","",IF(ISERROR(MATCH($J858,SorP!$B$1:$B$6230,0)),"",INDIRECT("'SorP'!$A$"&amp;MATCH($J858,SorP!$B$1:$B$6230,0))))</f>
        <v/>
      </c>
      <c r="U858" s="238"/>
      <c r="V858" s="270" t="e">
        <f>IF(C858="",NA(),MATCH($B858&amp;$C858,'Smelter Look-up'!$J:$J,0))</f>
        <v>#N/A</v>
      </c>
      <c r="W858" s="271"/>
      <c r="X858" s="271">
        <f t="shared" ca="1" si="121"/>
        <v>0</v>
      </c>
      <c r="Y858" s="271"/>
      <c r="Z858" s="271"/>
      <c r="AB858" s="273" t="str">
        <f t="shared" si="122"/>
        <v/>
      </c>
    </row>
    <row r="859" spans="1:28" s="272" customFormat="1" ht="20.399999999999999">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0"/>
        <v/>
      </c>
      <c r="T859" s="222" t="str">
        <f ca="1">IF(B859="","",IF(ISERROR(MATCH($J859,SorP!$B$1:$B$6230,0)),"",INDIRECT("'SorP'!$A$"&amp;MATCH($J859,SorP!$B$1:$B$6230,0))))</f>
        <v/>
      </c>
      <c r="U859" s="238"/>
      <c r="V859" s="270" t="e">
        <f>IF(C859="",NA(),MATCH($B859&amp;$C859,'Smelter Look-up'!$J:$J,0))</f>
        <v>#N/A</v>
      </c>
      <c r="W859" s="271"/>
      <c r="X859" s="271">
        <f t="shared" ca="1" si="121"/>
        <v>0</v>
      </c>
      <c r="Y859" s="271"/>
      <c r="Z859" s="271"/>
      <c r="AB859" s="273" t="str">
        <f t="shared" si="122"/>
        <v/>
      </c>
    </row>
    <row r="860" spans="1:28" s="272" customFormat="1" ht="20.399999999999999">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124">IF(AND(C860="Smelter not listed",OR(LEN(D860)=0,LEN(E860)=0)),1,0)</f>
        <v>0</v>
      </c>
      <c r="Y860" s="271"/>
      <c r="Z860" s="271"/>
      <c r="AB860" s="273" t="str">
        <f t="shared" ref="AB860:AB890" si="125">B860&amp;C860</f>
        <v/>
      </c>
    </row>
    <row r="861" spans="1:28" s="272" customFormat="1" ht="20.399999999999999">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399999999999999">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399999999999999">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399999999999999">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399999999999999">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399999999999999">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399999999999999">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399999999999999">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399999999999999">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399999999999999">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399999999999999">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399999999999999">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399999999999999">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399999999999999">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399999999999999">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399999999999999">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399999999999999">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399999999999999">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399999999999999">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399999999999999">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399999999999999">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399999999999999">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399999999999999">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399999999999999">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399999999999999">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399999999999999">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399999999999999">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399999999999999">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20.399999999999999">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3"/>
        <v/>
      </c>
      <c r="T889" s="222" t="str">
        <f ca="1">IF(B889="","",IF(ISERROR(MATCH($J889,SorP!$B$1:$B$6230,0)),"",INDIRECT("'SorP'!$A$"&amp;MATCH($J889,SorP!$B$1:$B$6230,0))))</f>
        <v/>
      </c>
      <c r="U889" s="238"/>
      <c r="V889" s="270" t="e">
        <f>IF(C889="",NA(),MATCH($B889&amp;$C889,'Smelter Look-up'!$J:$J,0))</f>
        <v>#N/A</v>
      </c>
      <c r="W889" s="271"/>
      <c r="X889" s="271">
        <f t="shared" ca="1" si="124"/>
        <v>0</v>
      </c>
      <c r="Y889" s="271"/>
      <c r="Z889" s="271"/>
      <c r="AB889" s="273" t="str">
        <f t="shared" si="125"/>
        <v/>
      </c>
    </row>
    <row r="890" spans="1:28" s="272" customFormat="1" ht="20.399999999999999">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3"/>
        <v/>
      </c>
      <c r="T890" s="222" t="str">
        <f ca="1">IF(B890="","",IF(ISERROR(MATCH($J890,SorP!$B$1:$B$6230,0)),"",INDIRECT("'SorP'!$A$"&amp;MATCH($J890,SorP!$B$1:$B$6230,0))))</f>
        <v/>
      </c>
      <c r="U890" s="238"/>
      <c r="V890" s="270" t="e">
        <f>IF(C890="",NA(),MATCH($B890&amp;$C890,'Smelter Look-up'!$J:$J,0))</f>
        <v>#N/A</v>
      </c>
      <c r="W890" s="271"/>
      <c r="X890" s="271">
        <f t="shared" ca="1" si="124"/>
        <v>0</v>
      </c>
      <c r="Y890" s="271"/>
      <c r="Z890" s="271"/>
      <c r="AB890" s="273" t="str">
        <f t="shared" si="125"/>
        <v/>
      </c>
    </row>
    <row r="891" spans="1:28" s="272" customFormat="1" ht="20.399999999999999">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70" t="e">
        <f>IF(C891="",NA(),MATCH($B891&amp;$C891,'Smelter Look-up'!$J:$J,0))</f>
        <v>#N/A</v>
      </c>
      <c r="W891" s="271"/>
      <c r="X891" s="271">
        <f t="shared" ref="X891" ca="1" si="127">IF(AND(C891="Smelter not listed",OR(LEN(D891)=0,LEN(E891)=0)),1,0)</f>
        <v>0</v>
      </c>
      <c r="Y891" s="271"/>
      <c r="Z891" s="271"/>
      <c r="AB891" s="273" t="str">
        <f t="shared" ref="AB891" si="128">B891&amp;C891</f>
        <v/>
      </c>
    </row>
    <row r="892" spans="1:28" s="272" customFormat="1" ht="20.399999999999999">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130">IF(AND(C892="Smelter not listed",OR(LEN(D892)=0,LEN(E892)=0)),1,0)</f>
        <v>0</v>
      </c>
      <c r="Y892" s="271"/>
      <c r="Z892" s="271"/>
      <c r="AB892" s="273" t="str">
        <f t="shared" ref="AB892:AB923" si="131">B892&amp;C892</f>
        <v/>
      </c>
    </row>
    <row r="893" spans="1:28" s="272" customFormat="1" ht="20.399999999999999">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399999999999999">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399999999999999">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399999999999999">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399999999999999">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399999999999999">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399999999999999">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399999999999999">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399999999999999">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399999999999999">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399999999999999">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399999999999999">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399999999999999">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399999999999999">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399999999999999">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399999999999999">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399999999999999">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399999999999999">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399999999999999">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399999999999999">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399999999999999">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399999999999999">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399999999999999">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399999999999999">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399999999999999">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399999999999999">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399999999999999">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399999999999999">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399999999999999">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399999999999999">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29"/>
        <v/>
      </c>
      <c r="T922" s="222" t="str">
        <f ca="1">IF(B922="","",IF(ISERROR(MATCH($J922,SorP!$B$1:$B$6230,0)),"",INDIRECT("'SorP'!$A$"&amp;MATCH($J922,SorP!$B$1:$B$6230,0))))</f>
        <v/>
      </c>
      <c r="U922" s="238"/>
      <c r="V922" s="270" t="e">
        <f>IF(C922="",NA(),MATCH($B922&amp;$C922,'Smelter Look-up'!$J:$J,0))</f>
        <v>#N/A</v>
      </c>
      <c r="W922" s="271"/>
      <c r="X922" s="271">
        <f t="shared" ca="1" si="130"/>
        <v>0</v>
      </c>
      <c r="Y922" s="271"/>
      <c r="Z922" s="271"/>
      <c r="AB922" s="273" t="str">
        <f t="shared" si="131"/>
        <v/>
      </c>
    </row>
    <row r="923" spans="1:28" s="272" customFormat="1" ht="20.399999999999999">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29"/>
        <v/>
      </c>
      <c r="T923" s="222" t="str">
        <f ca="1">IF(B923="","",IF(ISERROR(MATCH($J923,SorP!$B$1:$B$6230,0)),"",INDIRECT("'SorP'!$A$"&amp;MATCH($J923,SorP!$B$1:$B$6230,0))))</f>
        <v/>
      </c>
      <c r="U923" s="238"/>
      <c r="V923" s="270" t="e">
        <f>IF(C923="",NA(),MATCH($B923&amp;$C923,'Smelter Look-up'!$J:$J,0))</f>
        <v>#N/A</v>
      </c>
      <c r="W923" s="271"/>
      <c r="X923" s="271">
        <f t="shared" ca="1" si="130"/>
        <v>0</v>
      </c>
      <c r="Y923" s="271"/>
      <c r="Z923" s="271"/>
      <c r="AB923" s="273" t="str">
        <f t="shared" si="131"/>
        <v/>
      </c>
    </row>
    <row r="924" spans="1:28" s="272" customFormat="1" ht="20.399999999999999">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133">IF(AND(C924="Smelter not listed",OR(LEN(D924)=0,LEN(E924)=0)),1,0)</f>
        <v>0</v>
      </c>
      <c r="Y924" s="271"/>
      <c r="Z924" s="271"/>
      <c r="AB924" s="273" t="str">
        <f t="shared" ref="AB924:AB954" si="134">B924&amp;C924</f>
        <v/>
      </c>
    </row>
    <row r="925" spans="1:28" s="272" customFormat="1" ht="20.399999999999999">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399999999999999">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399999999999999">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399999999999999">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399999999999999">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399999999999999">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399999999999999">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399999999999999">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399999999999999">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399999999999999">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399999999999999">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399999999999999">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399999999999999">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399999999999999">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399999999999999">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399999999999999">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399999999999999">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399999999999999">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399999999999999">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399999999999999">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399999999999999">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399999999999999">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399999999999999">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399999999999999">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399999999999999">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399999999999999">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399999999999999">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399999999999999">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20.399999999999999">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2"/>
        <v/>
      </c>
      <c r="T953" s="222" t="str">
        <f ca="1">IF(B953="","",IF(ISERROR(MATCH($J953,SorP!$B$1:$B$6230,0)),"",INDIRECT("'SorP'!$A$"&amp;MATCH($J953,SorP!$B$1:$B$6230,0))))</f>
        <v/>
      </c>
      <c r="U953" s="238"/>
      <c r="V953" s="270" t="e">
        <f>IF(C953="",NA(),MATCH($B953&amp;$C953,'Smelter Look-up'!$J:$J,0))</f>
        <v>#N/A</v>
      </c>
      <c r="W953" s="271"/>
      <c r="X953" s="271">
        <f t="shared" ca="1" si="133"/>
        <v>0</v>
      </c>
      <c r="Y953" s="271"/>
      <c r="Z953" s="271"/>
      <c r="AB953" s="273" t="str">
        <f t="shared" si="134"/>
        <v/>
      </c>
    </row>
    <row r="954" spans="1:28" s="272" customFormat="1" ht="20.399999999999999">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2"/>
        <v/>
      </c>
      <c r="T954" s="222" t="str">
        <f ca="1">IF(B954="","",IF(ISERROR(MATCH($J954,SorP!$B$1:$B$6230,0)),"",INDIRECT("'SorP'!$A$"&amp;MATCH($J954,SorP!$B$1:$B$6230,0))))</f>
        <v/>
      </c>
      <c r="U954" s="238"/>
      <c r="V954" s="270" t="e">
        <f>IF(C954="",NA(),MATCH($B954&amp;$C954,'Smelter Look-up'!$J:$J,0))</f>
        <v>#N/A</v>
      </c>
      <c r="W954" s="271"/>
      <c r="X954" s="271">
        <f t="shared" ca="1" si="133"/>
        <v>0</v>
      </c>
      <c r="Y954" s="271"/>
      <c r="Z954" s="271"/>
      <c r="AB954" s="273" t="str">
        <f t="shared" si="134"/>
        <v/>
      </c>
    </row>
    <row r="955" spans="1:28" s="272" customFormat="1" ht="20.399999999999999">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70" t="e">
        <f>IF(C955="",NA(),MATCH($B955&amp;$C955,'Smelter Look-up'!$J:$J,0))</f>
        <v>#N/A</v>
      </c>
      <c r="W955" s="271"/>
      <c r="X955" s="271">
        <f t="shared" ref="X955" ca="1" si="136">IF(AND(C955="Smelter not listed",OR(LEN(D955)=0,LEN(E955)=0)),1,0)</f>
        <v>0</v>
      </c>
      <c r="Y955" s="271"/>
      <c r="Z955" s="271"/>
      <c r="AB955" s="273" t="str">
        <f t="shared" ref="AB955" si="137">B955&amp;C955</f>
        <v/>
      </c>
    </row>
    <row r="956" spans="1:28" s="272" customFormat="1" ht="20.399999999999999">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139">IF(AND(C956="Smelter not listed",OR(LEN(D956)=0,LEN(E956)=0)),1,0)</f>
        <v>0</v>
      </c>
      <c r="Y956" s="271"/>
      <c r="Z956" s="271"/>
      <c r="AB956" s="273" t="str">
        <f t="shared" ref="AB956:AB987" si="140">B956&amp;C956</f>
        <v/>
      </c>
    </row>
    <row r="957" spans="1:28" s="272" customFormat="1" ht="20.399999999999999">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399999999999999">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399999999999999">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399999999999999">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399999999999999">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399999999999999">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399999999999999">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399999999999999">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399999999999999">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399999999999999">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399999999999999">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399999999999999">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399999999999999">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399999999999999">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399999999999999">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399999999999999">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399999999999999">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399999999999999">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399999999999999">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399999999999999">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399999999999999">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399999999999999">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399999999999999">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399999999999999">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399999999999999">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399999999999999">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399999999999999">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399999999999999">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399999999999999">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399999999999999">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38"/>
        <v/>
      </c>
      <c r="T986" s="222" t="str">
        <f ca="1">IF(B986="","",IF(ISERROR(MATCH($J986,SorP!$B$1:$B$6230,0)),"",INDIRECT("'SorP'!$A$"&amp;MATCH($J986,SorP!$B$1:$B$6230,0))))</f>
        <v/>
      </c>
      <c r="U986" s="238"/>
      <c r="V986" s="270" t="e">
        <f>IF(C986="",NA(),MATCH($B986&amp;$C986,'Smelter Look-up'!$J:$J,0))</f>
        <v>#N/A</v>
      </c>
      <c r="W986" s="271"/>
      <c r="X986" s="271">
        <f t="shared" ca="1" si="139"/>
        <v>0</v>
      </c>
      <c r="Y986" s="271"/>
      <c r="Z986" s="271"/>
      <c r="AB986" s="273" t="str">
        <f t="shared" si="140"/>
        <v/>
      </c>
    </row>
    <row r="987" spans="1:28" s="272" customFormat="1" ht="20.399999999999999">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38"/>
        <v/>
      </c>
      <c r="T987" s="222" t="str">
        <f ca="1">IF(B987="","",IF(ISERROR(MATCH($J987,SorP!$B$1:$B$6230,0)),"",INDIRECT("'SorP'!$A$"&amp;MATCH($J987,SorP!$B$1:$B$6230,0))))</f>
        <v/>
      </c>
      <c r="U987" s="238"/>
      <c r="V987" s="270" t="e">
        <f>IF(C987="",NA(),MATCH($B987&amp;$C987,'Smelter Look-up'!$J:$J,0))</f>
        <v>#N/A</v>
      </c>
      <c r="W987" s="271"/>
      <c r="X987" s="271">
        <f t="shared" ca="1" si="139"/>
        <v>0</v>
      </c>
      <c r="Y987" s="271"/>
      <c r="Z987" s="271"/>
      <c r="AB987" s="273" t="str">
        <f t="shared" si="140"/>
        <v/>
      </c>
    </row>
    <row r="988" spans="1:28" s="272" customFormat="1" ht="20.399999999999999">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142">IF(AND(C988="Smelter not listed",OR(LEN(D988)=0,LEN(E988)=0)),1,0)</f>
        <v>0</v>
      </c>
      <c r="Y988" s="271"/>
      <c r="Z988" s="271"/>
      <c r="AB988" s="273" t="str">
        <f t="shared" ref="AB988:AB1018" si="143">B988&amp;C988</f>
        <v/>
      </c>
    </row>
    <row r="989" spans="1:28" s="272" customFormat="1" ht="20.399999999999999">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399999999999999">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399999999999999">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399999999999999">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399999999999999">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399999999999999">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399999999999999">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399999999999999">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399999999999999">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399999999999999">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399999999999999">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399999999999999">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399999999999999">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399999999999999">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399999999999999">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399999999999999">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399999999999999">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399999999999999">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399999999999999">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399999999999999">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399999999999999">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399999999999999">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399999999999999">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399999999999999">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399999999999999">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399999999999999">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399999999999999">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399999999999999">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20.399999999999999">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1"/>
        <v/>
      </c>
      <c r="T1017" s="222" t="str">
        <f ca="1">IF(B1017="","",IF(ISERROR(MATCH($J1017,SorP!$B$1:$B$6230,0)),"",INDIRECT("'SorP'!$A$"&amp;MATCH($J1017,SorP!$B$1:$B$6230,0))))</f>
        <v/>
      </c>
      <c r="U1017" s="238"/>
      <c r="V1017" s="270" t="e">
        <f>IF(C1017="",NA(),MATCH($B1017&amp;$C1017,'Smelter Look-up'!$J:$J,0))</f>
        <v>#N/A</v>
      </c>
      <c r="W1017" s="271"/>
      <c r="X1017" s="271">
        <f t="shared" ca="1" si="142"/>
        <v>0</v>
      </c>
      <c r="Y1017" s="271"/>
      <c r="Z1017" s="271"/>
      <c r="AB1017" s="273" t="str">
        <f t="shared" si="143"/>
        <v/>
      </c>
    </row>
    <row r="1018" spans="1:28" s="272" customFormat="1" ht="20.399999999999999">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1"/>
        <v/>
      </c>
      <c r="T1018" s="222" t="str">
        <f ca="1">IF(B1018="","",IF(ISERROR(MATCH($J1018,SorP!$B$1:$B$6230,0)),"",INDIRECT("'SorP'!$A$"&amp;MATCH($J1018,SorP!$B$1:$B$6230,0))))</f>
        <v/>
      </c>
      <c r="U1018" s="238"/>
      <c r="V1018" s="270" t="e">
        <f>IF(C1018="",NA(),MATCH($B1018&amp;$C1018,'Smelter Look-up'!$J:$J,0))</f>
        <v>#N/A</v>
      </c>
      <c r="W1018" s="271"/>
      <c r="X1018" s="271">
        <f t="shared" ca="1" si="142"/>
        <v>0</v>
      </c>
      <c r="Y1018" s="271"/>
      <c r="Z1018" s="271"/>
      <c r="AB1018" s="273" t="str">
        <f t="shared" si="143"/>
        <v/>
      </c>
    </row>
    <row r="1019" spans="1:28" s="272" customFormat="1" ht="20.399999999999999">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t="shared" ref="X1019" ca="1" si="145">IF(AND(C1019="Smelter not listed",OR(LEN(D1019)=0,LEN(E1019)=0)),1,0)</f>
        <v>0</v>
      </c>
      <c r="Y1019" s="271"/>
      <c r="Z1019" s="271"/>
      <c r="AB1019" s="273" t="str">
        <f t="shared" ref="AB1019" si="146">B1019&amp;C1019</f>
        <v/>
      </c>
    </row>
    <row r="1020" spans="1:28" s="272" customFormat="1" ht="20.399999999999999">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148">IF(AND(C1020="Smelter not listed",OR(LEN(D1020)=0,LEN(E1020)=0)),1,0)</f>
        <v>0</v>
      </c>
      <c r="Y1020" s="271"/>
      <c r="Z1020" s="271"/>
      <c r="AB1020" s="273" t="str">
        <f t="shared" ref="AB1020:AB1051" si="149">B1020&amp;C1020</f>
        <v/>
      </c>
    </row>
    <row r="1021" spans="1:28" s="272" customFormat="1" ht="20.399999999999999">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399999999999999">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399999999999999">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399999999999999">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399999999999999">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399999999999999">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399999999999999">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399999999999999">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399999999999999">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399999999999999">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399999999999999">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399999999999999">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399999999999999">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399999999999999">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399999999999999">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399999999999999">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399999999999999">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399999999999999">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399999999999999">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399999999999999">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399999999999999">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399999999999999">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399999999999999">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399999999999999">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399999999999999">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399999999999999">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399999999999999">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399999999999999">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399999999999999">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399999999999999">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47"/>
        <v/>
      </c>
      <c r="T1050" s="222" t="str">
        <f ca="1">IF(B1050="","",IF(ISERROR(MATCH($J1050,SorP!$B$1:$B$6230,0)),"",INDIRECT("'SorP'!$A$"&amp;MATCH($J1050,SorP!$B$1:$B$6230,0))))</f>
        <v/>
      </c>
      <c r="U1050" s="238"/>
      <c r="V1050" s="270" t="e">
        <f>IF(C1050="",NA(),MATCH($B1050&amp;$C1050,'Smelter Look-up'!$J:$J,0))</f>
        <v>#N/A</v>
      </c>
      <c r="W1050" s="271"/>
      <c r="X1050" s="271">
        <f t="shared" ca="1" si="148"/>
        <v>0</v>
      </c>
      <c r="Y1050" s="271"/>
      <c r="Z1050" s="271"/>
      <c r="AB1050" s="273" t="str">
        <f t="shared" si="149"/>
        <v/>
      </c>
    </row>
    <row r="1051" spans="1:28" s="272" customFormat="1" ht="20.399999999999999">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47"/>
        <v/>
      </c>
      <c r="T1051" s="222" t="str">
        <f ca="1">IF(B1051="","",IF(ISERROR(MATCH($J1051,SorP!$B$1:$B$6230,0)),"",INDIRECT("'SorP'!$A$"&amp;MATCH($J1051,SorP!$B$1:$B$6230,0))))</f>
        <v/>
      </c>
      <c r="U1051" s="238"/>
      <c r="V1051" s="270" t="e">
        <f>IF(C1051="",NA(),MATCH($B1051&amp;$C1051,'Smelter Look-up'!$J:$J,0))</f>
        <v>#N/A</v>
      </c>
      <c r="W1051" s="271"/>
      <c r="X1051" s="271">
        <f t="shared" ca="1" si="148"/>
        <v>0</v>
      </c>
      <c r="Y1051" s="271"/>
      <c r="Z1051" s="271"/>
      <c r="AB1051" s="273" t="str">
        <f t="shared" si="149"/>
        <v/>
      </c>
    </row>
    <row r="1052" spans="1:28" s="272" customFormat="1" ht="20.399999999999999">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51">IF(AND(C1052="Smelter not listed",OR(LEN(D1052)=0,LEN(E1052)=0)),1,0)</f>
        <v>0</v>
      </c>
      <c r="Y1052" s="271"/>
      <c r="Z1052" s="271"/>
      <c r="AB1052" s="273" t="str">
        <f t="shared" ref="AB1052:AB1082" si="152">B1052&amp;C1052</f>
        <v/>
      </c>
    </row>
    <row r="1053" spans="1:28" s="272" customFormat="1" ht="20.399999999999999">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399999999999999">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399999999999999">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399999999999999">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399999999999999">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399999999999999">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399999999999999">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399999999999999">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399999999999999">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399999999999999">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399999999999999">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399999999999999">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399999999999999">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399999999999999">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399999999999999">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399999999999999">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399999999999999">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399999999999999">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399999999999999">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399999999999999">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399999999999999">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399999999999999">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399999999999999">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399999999999999">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399999999999999">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399999999999999">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399999999999999">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399999999999999">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20.399999999999999">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0"/>
        <v/>
      </c>
      <c r="T1081" s="222" t="str">
        <f ca="1">IF(B1081="","",IF(ISERROR(MATCH($J1081,SorP!$B$1:$B$6230,0)),"",INDIRECT("'SorP'!$A$"&amp;MATCH($J1081,SorP!$B$1:$B$6230,0))))</f>
        <v/>
      </c>
      <c r="U1081" s="238"/>
      <c r="V1081" s="270" t="e">
        <f>IF(C1081="",NA(),MATCH($B1081&amp;$C1081,'Smelter Look-up'!$J:$J,0))</f>
        <v>#N/A</v>
      </c>
      <c r="W1081" s="271"/>
      <c r="X1081" s="271">
        <f t="shared" ca="1" si="151"/>
        <v>0</v>
      </c>
      <c r="Y1081" s="271"/>
      <c r="Z1081" s="271"/>
      <c r="AB1081" s="273" t="str">
        <f t="shared" si="152"/>
        <v/>
      </c>
    </row>
    <row r="1082" spans="1:28" s="272" customFormat="1" ht="20.399999999999999">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0"/>
        <v/>
      </c>
      <c r="T1082" s="222" t="str">
        <f ca="1">IF(B1082="","",IF(ISERROR(MATCH($J1082,SorP!$B$1:$B$6230,0)),"",INDIRECT("'SorP'!$A$"&amp;MATCH($J1082,SorP!$B$1:$B$6230,0))))</f>
        <v/>
      </c>
      <c r="U1082" s="238"/>
      <c r="V1082" s="270" t="e">
        <f>IF(C1082="",NA(),MATCH($B1082&amp;$C1082,'Smelter Look-up'!$J:$J,0))</f>
        <v>#N/A</v>
      </c>
      <c r="W1082" s="271"/>
      <c r="X1082" s="271">
        <f t="shared" ca="1" si="151"/>
        <v>0</v>
      </c>
      <c r="Y1082" s="271"/>
      <c r="Z1082" s="271"/>
      <c r="AB1082" s="273" t="str">
        <f t="shared" si="152"/>
        <v/>
      </c>
    </row>
    <row r="1083" spans="1:28" s="272" customFormat="1" ht="20.399999999999999">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t="shared" ref="X1083" ca="1" si="154">IF(AND(C1083="Smelter not listed",OR(LEN(D1083)=0,LEN(E1083)=0)),1,0)</f>
        <v>0</v>
      </c>
      <c r="Y1083" s="271"/>
      <c r="Z1083" s="271"/>
      <c r="AB1083" s="273" t="str">
        <f t="shared" ref="AB1083" si="155">B1083&amp;C1083</f>
        <v/>
      </c>
    </row>
    <row r="1084" spans="1:28" s="272" customFormat="1" ht="20.399999999999999">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57">IF(AND(C1084="Smelter not listed",OR(LEN(D1084)=0,LEN(E1084)=0)),1,0)</f>
        <v>0</v>
      </c>
      <c r="Y1084" s="271"/>
      <c r="Z1084" s="271"/>
      <c r="AB1084" s="273" t="str">
        <f t="shared" ref="AB1084:AB1115" si="158">B1084&amp;C1084</f>
        <v/>
      </c>
    </row>
    <row r="1085" spans="1:28" s="272" customFormat="1" ht="20.399999999999999">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399999999999999">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399999999999999">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399999999999999">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399999999999999">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399999999999999">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399999999999999">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399999999999999">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399999999999999">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399999999999999">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399999999999999">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399999999999999">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399999999999999">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399999999999999">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399999999999999">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399999999999999">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399999999999999">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399999999999999">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399999999999999">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399999999999999">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399999999999999">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399999999999999">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399999999999999">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399999999999999">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399999999999999">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399999999999999">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399999999999999">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399999999999999">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399999999999999">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399999999999999">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6"/>
        <v/>
      </c>
      <c r="T1114" s="222" t="str">
        <f ca="1">IF(B1114="","",IF(ISERROR(MATCH($J1114,SorP!$B$1:$B$6230,0)),"",INDIRECT("'SorP'!$A$"&amp;MATCH($J1114,SorP!$B$1:$B$6230,0))))</f>
        <v/>
      </c>
      <c r="U1114" s="238"/>
      <c r="V1114" s="270" t="e">
        <f>IF(C1114="",NA(),MATCH($B1114&amp;$C1114,'Smelter Look-up'!$J:$J,0))</f>
        <v>#N/A</v>
      </c>
      <c r="W1114" s="271"/>
      <c r="X1114" s="271">
        <f t="shared" ca="1" si="157"/>
        <v>0</v>
      </c>
      <c r="Y1114" s="271"/>
      <c r="Z1114" s="271"/>
      <c r="AB1114" s="273" t="str">
        <f t="shared" si="158"/>
        <v/>
      </c>
    </row>
    <row r="1115" spans="1:28" s="272" customFormat="1" ht="20.399999999999999">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6"/>
        <v/>
      </c>
      <c r="T1115" s="222" t="str">
        <f ca="1">IF(B1115="","",IF(ISERROR(MATCH($J1115,SorP!$B$1:$B$6230,0)),"",INDIRECT("'SorP'!$A$"&amp;MATCH($J1115,SorP!$B$1:$B$6230,0))))</f>
        <v/>
      </c>
      <c r="U1115" s="238"/>
      <c r="V1115" s="270" t="e">
        <f>IF(C1115="",NA(),MATCH($B1115&amp;$C1115,'Smelter Look-up'!$J:$J,0))</f>
        <v>#N/A</v>
      </c>
      <c r="W1115" s="271"/>
      <c r="X1115" s="271">
        <f t="shared" ca="1" si="157"/>
        <v>0</v>
      </c>
      <c r="Y1115" s="271"/>
      <c r="Z1115" s="271"/>
      <c r="AB1115" s="273" t="str">
        <f t="shared" si="158"/>
        <v/>
      </c>
    </row>
    <row r="1116" spans="1:28" s="272" customFormat="1" ht="20.399999999999999">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60">IF(AND(C1116="Smelter not listed",OR(LEN(D1116)=0,LEN(E1116)=0)),1,0)</f>
        <v>0</v>
      </c>
      <c r="Y1116" s="271"/>
      <c r="Z1116" s="271"/>
      <c r="AB1116" s="273" t="str">
        <f t="shared" ref="AB1116:AB1146" si="161">B1116&amp;C1116</f>
        <v/>
      </c>
    </row>
    <row r="1117" spans="1:28" s="272" customFormat="1" ht="20.399999999999999">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399999999999999">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399999999999999">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399999999999999">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399999999999999">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399999999999999">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399999999999999">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399999999999999">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399999999999999">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399999999999999">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399999999999999">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399999999999999">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399999999999999">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399999999999999">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399999999999999">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399999999999999">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399999999999999">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399999999999999">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399999999999999">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399999999999999">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399999999999999">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399999999999999">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399999999999999">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399999999999999">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399999999999999">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399999999999999">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399999999999999">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399999999999999">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20.399999999999999">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59"/>
        <v/>
      </c>
      <c r="T1145" s="222" t="str">
        <f ca="1">IF(B1145="","",IF(ISERROR(MATCH($J1145,SorP!$B$1:$B$6230,0)),"",INDIRECT("'SorP'!$A$"&amp;MATCH($J1145,SorP!$B$1:$B$6230,0))))</f>
        <v/>
      </c>
      <c r="U1145" s="238"/>
      <c r="V1145" s="270" t="e">
        <f>IF(C1145="",NA(),MATCH($B1145&amp;$C1145,'Smelter Look-up'!$J:$J,0))</f>
        <v>#N/A</v>
      </c>
      <c r="W1145" s="271"/>
      <c r="X1145" s="271">
        <f t="shared" ca="1" si="160"/>
        <v>0</v>
      </c>
      <c r="Y1145" s="271"/>
      <c r="Z1145" s="271"/>
      <c r="AB1145" s="273" t="str">
        <f t="shared" si="161"/>
        <v/>
      </c>
    </row>
    <row r="1146" spans="1:28" s="272" customFormat="1" ht="20.399999999999999">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59"/>
        <v/>
      </c>
      <c r="T1146" s="222" t="str">
        <f ca="1">IF(B1146="","",IF(ISERROR(MATCH($J1146,SorP!$B$1:$B$6230,0)),"",INDIRECT("'SorP'!$A$"&amp;MATCH($J1146,SorP!$B$1:$B$6230,0))))</f>
        <v/>
      </c>
      <c r="U1146" s="238"/>
      <c r="V1146" s="270" t="e">
        <f>IF(C1146="",NA(),MATCH($B1146&amp;$C1146,'Smelter Look-up'!$J:$J,0))</f>
        <v>#N/A</v>
      </c>
      <c r="W1146" s="271"/>
      <c r="X1146" s="271">
        <f t="shared" ca="1" si="160"/>
        <v>0</v>
      </c>
      <c r="Y1146" s="271"/>
      <c r="Z1146" s="271"/>
      <c r="AB1146" s="273" t="str">
        <f t="shared" si="161"/>
        <v/>
      </c>
    </row>
    <row r="1147" spans="1:28" s="272" customFormat="1" ht="20.399999999999999">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t="shared" ref="X1147" ca="1" si="163">IF(AND(C1147="Smelter not listed",OR(LEN(D1147)=0,LEN(E1147)=0)),1,0)</f>
        <v>0</v>
      </c>
      <c r="Y1147" s="271"/>
      <c r="Z1147" s="271"/>
      <c r="AB1147" s="273" t="str">
        <f t="shared" ref="AB1147" si="164">B1147&amp;C1147</f>
        <v/>
      </c>
    </row>
    <row r="1148" spans="1:28" s="272" customFormat="1" ht="20.399999999999999">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66">IF(AND(C1148="Smelter not listed",OR(LEN(D1148)=0,LEN(E1148)=0)),1,0)</f>
        <v>0</v>
      </c>
      <c r="Y1148" s="271"/>
      <c r="Z1148" s="271"/>
      <c r="AB1148" s="273" t="str">
        <f t="shared" ref="AB1148:AB1179" si="167">B1148&amp;C1148</f>
        <v/>
      </c>
    </row>
    <row r="1149" spans="1:28" s="272" customFormat="1" ht="20.399999999999999">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399999999999999">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399999999999999">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399999999999999">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399999999999999">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399999999999999">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399999999999999">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399999999999999">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399999999999999">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399999999999999">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399999999999999">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399999999999999">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399999999999999">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399999999999999">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399999999999999">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399999999999999">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399999999999999">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399999999999999">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399999999999999">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399999999999999">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399999999999999">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399999999999999">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399999999999999">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399999999999999">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399999999999999">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399999999999999">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399999999999999">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399999999999999">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399999999999999">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399999999999999">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5"/>
        <v/>
      </c>
      <c r="T1178" s="222" t="str">
        <f ca="1">IF(B1178="","",IF(ISERROR(MATCH($J1178,SorP!$B$1:$B$6230,0)),"",INDIRECT("'SorP'!$A$"&amp;MATCH($J1178,SorP!$B$1:$B$6230,0))))</f>
        <v/>
      </c>
      <c r="U1178" s="238"/>
      <c r="V1178" s="270" t="e">
        <f>IF(C1178="",NA(),MATCH($B1178&amp;$C1178,'Smelter Look-up'!$J:$J,0))</f>
        <v>#N/A</v>
      </c>
      <c r="W1178" s="271"/>
      <c r="X1178" s="271">
        <f t="shared" ca="1" si="166"/>
        <v>0</v>
      </c>
      <c r="Y1178" s="271"/>
      <c r="Z1178" s="271"/>
      <c r="AB1178" s="273" t="str">
        <f t="shared" si="167"/>
        <v/>
      </c>
    </row>
    <row r="1179" spans="1:28" s="272" customFormat="1" ht="20.399999999999999">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5"/>
        <v/>
      </c>
      <c r="T1179" s="222" t="str">
        <f ca="1">IF(B1179="","",IF(ISERROR(MATCH($J1179,SorP!$B$1:$B$6230,0)),"",INDIRECT("'SorP'!$A$"&amp;MATCH($J1179,SorP!$B$1:$B$6230,0))))</f>
        <v/>
      </c>
      <c r="U1179" s="238"/>
      <c r="V1179" s="270" t="e">
        <f>IF(C1179="",NA(),MATCH($B1179&amp;$C1179,'Smelter Look-up'!$J:$J,0))</f>
        <v>#N/A</v>
      </c>
      <c r="W1179" s="271"/>
      <c r="X1179" s="271">
        <f t="shared" ca="1" si="166"/>
        <v>0</v>
      </c>
      <c r="Y1179" s="271"/>
      <c r="Z1179" s="271"/>
      <c r="AB1179" s="273" t="str">
        <f t="shared" si="167"/>
        <v/>
      </c>
    </row>
    <row r="1180" spans="1:28" s="272" customFormat="1" ht="20.399999999999999">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69">IF(AND(C1180="Smelter not listed",OR(LEN(D1180)=0,LEN(E1180)=0)),1,0)</f>
        <v>0</v>
      </c>
      <c r="Y1180" s="271"/>
      <c r="Z1180" s="271"/>
      <c r="AB1180" s="273" t="str">
        <f t="shared" ref="AB1180:AB1210" si="170">B1180&amp;C1180</f>
        <v/>
      </c>
    </row>
    <row r="1181" spans="1:28" s="272" customFormat="1" ht="20.399999999999999">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399999999999999">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399999999999999">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399999999999999">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399999999999999">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399999999999999">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399999999999999">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399999999999999">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399999999999999">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399999999999999">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399999999999999">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399999999999999">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399999999999999">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399999999999999">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399999999999999">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399999999999999">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399999999999999">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399999999999999">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399999999999999">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399999999999999">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399999999999999">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399999999999999">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399999999999999">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399999999999999">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399999999999999">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399999999999999">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399999999999999">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399999999999999">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20.399999999999999">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68"/>
        <v/>
      </c>
      <c r="T1209" s="222" t="str">
        <f ca="1">IF(B1209="","",IF(ISERROR(MATCH($J1209,SorP!$B$1:$B$6230,0)),"",INDIRECT("'SorP'!$A$"&amp;MATCH($J1209,SorP!$B$1:$B$6230,0))))</f>
        <v/>
      </c>
      <c r="U1209" s="238"/>
      <c r="V1209" s="270" t="e">
        <f>IF(C1209="",NA(),MATCH($B1209&amp;$C1209,'Smelter Look-up'!$J:$J,0))</f>
        <v>#N/A</v>
      </c>
      <c r="W1209" s="271"/>
      <c r="X1209" s="271">
        <f t="shared" ca="1" si="169"/>
        <v>0</v>
      </c>
      <c r="Y1209" s="271"/>
      <c r="Z1209" s="271"/>
      <c r="AB1209" s="273" t="str">
        <f t="shared" si="170"/>
        <v/>
      </c>
    </row>
    <row r="1210" spans="1:28" s="272" customFormat="1" ht="20.399999999999999">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68"/>
        <v/>
      </c>
      <c r="T1210" s="222" t="str">
        <f ca="1">IF(B1210="","",IF(ISERROR(MATCH($J1210,SorP!$B$1:$B$6230,0)),"",INDIRECT("'SorP'!$A$"&amp;MATCH($J1210,SorP!$B$1:$B$6230,0))))</f>
        <v/>
      </c>
      <c r="U1210" s="238"/>
      <c r="V1210" s="270" t="e">
        <f>IF(C1210="",NA(),MATCH($B1210&amp;$C1210,'Smelter Look-up'!$J:$J,0))</f>
        <v>#N/A</v>
      </c>
      <c r="W1210" s="271"/>
      <c r="X1210" s="271">
        <f t="shared" ca="1" si="169"/>
        <v>0</v>
      </c>
      <c r="Y1210" s="271"/>
      <c r="Z1210" s="271"/>
      <c r="AB1210" s="273" t="str">
        <f t="shared" si="170"/>
        <v/>
      </c>
    </row>
    <row r="1211" spans="1:28" s="272" customFormat="1" ht="20.399999999999999">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t="shared" ref="X1211" ca="1" si="172">IF(AND(C1211="Smelter not listed",OR(LEN(D1211)=0,LEN(E1211)=0)),1,0)</f>
        <v>0</v>
      </c>
      <c r="Y1211" s="271"/>
      <c r="Z1211" s="271"/>
      <c r="AB1211" s="273" t="str">
        <f t="shared" ref="AB1211" si="173">B1211&amp;C1211</f>
        <v/>
      </c>
    </row>
    <row r="1212" spans="1:28" s="272" customFormat="1" ht="20.399999999999999">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75">IF(AND(C1212="Smelter not listed",OR(LEN(D1212)=0,LEN(E1212)=0)),1,0)</f>
        <v>0</v>
      </c>
      <c r="Y1212" s="271"/>
      <c r="Z1212" s="271"/>
      <c r="AB1212" s="273" t="str">
        <f t="shared" ref="AB1212:AB1243" si="176">B1212&amp;C1212</f>
        <v/>
      </c>
    </row>
    <row r="1213" spans="1:28" s="272" customFormat="1" ht="20.399999999999999">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399999999999999">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399999999999999">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399999999999999">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399999999999999">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399999999999999">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399999999999999">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399999999999999">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399999999999999">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399999999999999">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399999999999999">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399999999999999">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399999999999999">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399999999999999">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399999999999999">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399999999999999">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399999999999999">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399999999999999">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399999999999999">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399999999999999">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399999999999999">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399999999999999">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399999999999999">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399999999999999">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399999999999999">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399999999999999">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399999999999999">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399999999999999">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399999999999999">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399999999999999">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4"/>
        <v/>
      </c>
      <c r="T1242" s="222" t="str">
        <f ca="1">IF(B1242="","",IF(ISERROR(MATCH($J1242,SorP!$B$1:$B$6230,0)),"",INDIRECT("'SorP'!$A$"&amp;MATCH($J1242,SorP!$B$1:$B$6230,0))))</f>
        <v/>
      </c>
      <c r="U1242" s="238"/>
      <c r="V1242" s="270" t="e">
        <f>IF(C1242="",NA(),MATCH($B1242&amp;$C1242,'Smelter Look-up'!$J:$J,0))</f>
        <v>#N/A</v>
      </c>
      <c r="W1242" s="271"/>
      <c r="X1242" s="271">
        <f t="shared" ca="1" si="175"/>
        <v>0</v>
      </c>
      <c r="Y1242" s="271"/>
      <c r="Z1242" s="271"/>
      <c r="AB1242" s="273" t="str">
        <f t="shared" si="176"/>
        <v/>
      </c>
    </row>
    <row r="1243" spans="1:28" s="272" customFormat="1" ht="20.399999999999999">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4"/>
        <v/>
      </c>
      <c r="T1243" s="222" t="str">
        <f ca="1">IF(B1243="","",IF(ISERROR(MATCH($J1243,SorP!$B$1:$B$6230,0)),"",INDIRECT("'SorP'!$A$"&amp;MATCH($J1243,SorP!$B$1:$B$6230,0))))</f>
        <v/>
      </c>
      <c r="U1243" s="238"/>
      <c r="V1243" s="270" t="e">
        <f>IF(C1243="",NA(),MATCH($B1243&amp;$C1243,'Smelter Look-up'!$J:$J,0))</f>
        <v>#N/A</v>
      </c>
      <c r="W1243" s="271"/>
      <c r="X1243" s="271">
        <f t="shared" ca="1" si="175"/>
        <v>0</v>
      </c>
      <c r="Y1243" s="271"/>
      <c r="Z1243" s="271"/>
      <c r="AB1243" s="273" t="str">
        <f t="shared" si="176"/>
        <v/>
      </c>
    </row>
    <row r="1244" spans="1:28" s="272" customFormat="1" ht="20.399999999999999">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78">IF(AND(C1244="Smelter not listed",OR(LEN(D1244)=0,LEN(E1244)=0)),1,0)</f>
        <v>0</v>
      </c>
      <c r="Y1244" s="271"/>
      <c r="Z1244" s="271"/>
      <c r="AB1244" s="273" t="str">
        <f t="shared" ref="AB1244:AB1274" si="179">B1244&amp;C1244</f>
        <v/>
      </c>
    </row>
    <row r="1245" spans="1:28" s="272" customFormat="1" ht="20.399999999999999">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399999999999999">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399999999999999">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399999999999999">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399999999999999">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399999999999999">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399999999999999">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399999999999999">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399999999999999">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399999999999999">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399999999999999">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399999999999999">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399999999999999">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399999999999999">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399999999999999">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399999999999999">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399999999999999">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399999999999999">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399999999999999">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399999999999999">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399999999999999">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399999999999999">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399999999999999">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399999999999999">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399999999999999">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399999999999999">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399999999999999">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399999999999999">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20.399999999999999">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77"/>
        <v/>
      </c>
      <c r="T1273" s="222" t="str">
        <f ca="1">IF(B1273="","",IF(ISERROR(MATCH($J1273,SorP!$B$1:$B$6230,0)),"",INDIRECT("'SorP'!$A$"&amp;MATCH($J1273,SorP!$B$1:$B$6230,0))))</f>
        <v/>
      </c>
      <c r="U1273" s="238"/>
      <c r="V1273" s="270" t="e">
        <f>IF(C1273="",NA(),MATCH($B1273&amp;$C1273,'Smelter Look-up'!$J:$J,0))</f>
        <v>#N/A</v>
      </c>
      <c r="W1273" s="271"/>
      <c r="X1273" s="271">
        <f t="shared" ca="1" si="178"/>
        <v>0</v>
      </c>
      <c r="Y1273" s="271"/>
      <c r="Z1273" s="271"/>
      <c r="AB1273" s="273" t="str">
        <f t="shared" si="179"/>
        <v/>
      </c>
    </row>
    <row r="1274" spans="1:28" s="272" customFormat="1" ht="20.399999999999999">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77"/>
        <v/>
      </c>
      <c r="T1274" s="222" t="str">
        <f ca="1">IF(B1274="","",IF(ISERROR(MATCH($J1274,SorP!$B$1:$B$6230,0)),"",INDIRECT("'SorP'!$A$"&amp;MATCH($J1274,SorP!$B$1:$B$6230,0))))</f>
        <v/>
      </c>
      <c r="U1274" s="238"/>
      <c r="V1274" s="270" t="e">
        <f>IF(C1274="",NA(),MATCH($B1274&amp;$C1274,'Smelter Look-up'!$J:$J,0))</f>
        <v>#N/A</v>
      </c>
      <c r="W1274" s="271"/>
      <c r="X1274" s="271">
        <f t="shared" ca="1" si="178"/>
        <v>0</v>
      </c>
      <c r="Y1274" s="271"/>
      <c r="Z1274" s="271"/>
      <c r="AB1274" s="273" t="str">
        <f t="shared" si="179"/>
        <v/>
      </c>
    </row>
    <row r="1275" spans="1:28" s="272" customFormat="1" ht="20.399999999999999">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t="shared" ref="X1275" ca="1" si="181">IF(AND(C1275="Smelter not listed",OR(LEN(D1275)=0,LEN(E1275)=0)),1,0)</f>
        <v>0</v>
      </c>
      <c r="Y1275" s="271"/>
      <c r="Z1275" s="271"/>
      <c r="AB1275" s="273" t="str">
        <f t="shared" ref="AB1275" si="182">B1275&amp;C1275</f>
        <v/>
      </c>
    </row>
    <row r="1276" spans="1:28" s="272" customFormat="1" ht="20.399999999999999">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84">IF(AND(C1276="Smelter not listed",OR(LEN(D1276)=0,LEN(E1276)=0)),1,0)</f>
        <v>0</v>
      </c>
      <c r="Y1276" s="271"/>
      <c r="Z1276" s="271"/>
      <c r="AB1276" s="273" t="str">
        <f t="shared" ref="AB1276:AB1307" si="185">B1276&amp;C1276</f>
        <v/>
      </c>
    </row>
    <row r="1277" spans="1:28" s="272" customFormat="1" ht="20.399999999999999">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399999999999999">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399999999999999">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399999999999999">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399999999999999">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399999999999999">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399999999999999">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399999999999999">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399999999999999">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399999999999999">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399999999999999">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399999999999999">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399999999999999">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399999999999999">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399999999999999">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399999999999999">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399999999999999">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399999999999999">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399999999999999">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399999999999999">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399999999999999">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399999999999999">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399999999999999">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399999999999999">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399999999999999">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399999999999999">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399999999999999">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399999999999999">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399999999999999">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399999999999999">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3"/>
        <v/>
      </c>
      <c r="T1306" s="222" t="str">
        <f ca="1">IF(B1306="","",IF(ISERROR(MATCH($J1306,SorP!$B$1:$B$6230,0)),"",INDIRECT("'SorP'!$A$"&amp;MATCH($J1306,SorP!$B$1:$B$6230,0))))</f>
        <v/>
      </c>
      <c r="U1306" s="238"/>
      <c r="V1306" s="270" t="e">
        <f>IF(C1306="",NA(),MATCH($B1306&amp;$C1306,'Smelter Look-up'!$J:$J,0))</f>
        <v>#N/A</v>
      </c>
      <c r="W1306" s="271"/>
      <c r="X1306" s="271">
        <f t="shared" ca="1" si="184"/>
        <v>0</v>
      </c>
      <c r="Y1306" s="271"/>
      <c r="Z1306" s="271"/>
      <c r="AB1306" s="273" t="str">
        <f t="shared" si="185"/>
        <v/>
      </c>
    </row>
    <row r="1307" spans="1:28" s="272" customFormat="1" ht="20.399999999999999">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3"/>
        <v/>
      </c>
      <c r="T1307" s="222" t="str">
        <f ca="1">IF(B1307="","",IF(ISERROR(MATCH($J1307,SorP!$B$1:$B$6230,0)),"",INDIRECT("'SorP'!$A$"&amp;MATCH($J1307,SorP!$B$1:$B$6230,0))))</f>
        <v/>
      </c>
      <c r="U1307" s="238"/>
      <c r="V1307" s="270" t="e">
        <f>IF(C1307="",NA(),MATCH($B1307&amp;$C1307,'Smelter Look-up'!$J:$J,0))</f>
        <v>#N/A</v>
      </c>
      <c r="W1307" s="271"/>
      <c r="X1307" s="271">
        <f t="shared" ca="1" si="184"/>
        <v>0</v>
      </c>
      <c r="Y1307" s="271"/>
      <c r="Z1307" s="271"/>
      <c r="AB1307" s="273" t="str">
        <f t="shared" si="185"/>
        <v/>
      </c>
    </row>
    <row r="1308" spans="1:28" s="272" customFormat="1" ht="20.399999999999999">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87">IF(AND(C1308="Smelter not listed",OR(LEN(D1308)=0,LEN(E1308)=0)),1,0)</f>
        <v>0</v>
      </c>
      <c r="Y1308" s="271"/>
      <c r="Z1308" s="271"/>
      <c r="AB1308" s="273" t="str">
        <f t="shared" ref="AB1308:AB1338" si="188">B1308&amp;C1308</f>
        <v/>
      </c>
    </row>
    <row r="1309" spans="1:28" s="272" customFormat="1" ht="20.399999999999999">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399999999999999">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399999999999999">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399999999999999">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399999999999999">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399999999999999">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399999999999999">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399999999999999">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399999999999999">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399999999999999">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399999999999999">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399999999999999">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399999999999999">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399999999999999">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399999999999999">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399999999999999">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399999999999999">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399999999999999">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399999999999999">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399999999999999">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399999999999999">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399999999999999">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399999999999999">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399999999999999">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399999999999999">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399999999999999">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399999999999999">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399999999999999">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20.399999999999999">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6"/>
        <v/>
      </c>
      <c r="T1337" s="222" t="str">
        <f ca="1">IF(B1337="","",IF(ISERROR(MATCH($J1337,SorP!$B$1:$B$6230,0)),"",INDIRECT("'SorP'!$A$"&amp;MATCH($J1337,SorP!$B$1:$B$6230,0))))</f>
        <v/>
      </c>
      <c r="U1337" s="238"/>
      <c r="V1337" s="270" t="e">
        <f>IF(C1337="",NA(),MATCH($B1337&amp;$C1337,'Smelter Look-up'!$J:$J,0))</f>
        <v>#N/A</v>
      </c>
      <c r="W1337" s="271"/>
      <c r="X1337" s="271">
        <f t="shared" ca="1" si="187"/>
        <v>0</v>
      </c>
      <c r="Y1337" s="271"/>
      <c r="Z1337" s="271"/>
      <c r="AB1337" s="273" t="str">
        <f t="shared" si="188"/>
        <v/>
      </c>
    </row>
    <row r="1338" spans="1:28" s="272" customFormat="1" ht="20.399999999999999">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86"/>
        <v/>
      </c>
      <c r="T1338" s="222" t="str">
        <f ca="1">IF(B1338="","",IF(ISERROR(MATCH($J1338,SorP!$B$1:$B$6230,0)),"",INDIRECT("'SorP'!$A$"&amp;MATCH($J1338,SorP!$B$1:$B$6230,0))))</f>
        <v/>
      </c>
      <c r="U1338" s="238"/>
      <c r="V1338" s="270" t="e">
        <f>IF(C1338="",NA(),MATCH($B1338&amp;$C1338,'Smelter Look-up'!$J:$J,0))</f>
        <v>#N/A</v>
      </c>
      <c r="W1338" s="271"/>
      <c r="X1338" s="271">
        <f t="shared" ca="1" si="187"/>
        <v>0</v>
      </c>
      <c r="Y1338" s="271"/>
      <c r="Z1338" s="271"/>
      <c r="AB1338" s="273" t="str">
        <f t="shared" si="188"/>
        <v/>
      </c>
    </row>
    <row r="1339" spans="1:28" s="272" customFormat="1" ht="20.399999999999999">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t="shared" ref="X1339" ca="1" si="190">IF(AND(C1339="Smelter not listed",OR(LEN(D1339)=0,LEN(E1339)=0)),1,0)</f>
        <v>0</v>
      </c>
      <c r="Y1339" s="271"/>
      <c r="Z1339" s="271"/>
      <c r="AB1339" s="273" t="str">
        <f t="shared" ref="AB1339" si="191">B1339&amp;C1339</f>
        <v/>
      </c>
    </row>
    <row r="1340" spans="1:28" s="272" customFormat="1" ht="20.399999999999999">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93">IF(AND(C1340="Smelter not listed",OR(LEN(D1340)=0,LEN(E1340)=0)),1,0)</f>
        <v>0</v>
      </c>
      <c r="Y1340" s="271"/>
      <c r="Z1340" s="271"/>
      <c r="AB1340" s="273" t="str">
        <f t="shared" ref="AB1340:AB1371" si="194">B1340&amp;C1340</f>
        <v/>
      </c>
    </row>
    <row r="1341" spans="1:28" s="272" customFormat="1" ht="20.399999999999999">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399999999999999">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399999999999999">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399999999999999">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399999999999999">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399999999999999">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399999999999999">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399999999999999">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399999999999999">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399999999999999">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399999999999999">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399999999999999">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399999999999999">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399999999999999">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399999999999999">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399999999999999">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399999999999999">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399999999999999">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399999999999999">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399999999999999">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399999999999999">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399999999999999">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399999999999999">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399999999999999">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399999999999999">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399999999999999">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399999999999999">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399999999999999">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399999999999999">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399999999999999">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2"/>
        <v/>
      </c>
      <c r="T1370" s="222" t="str">
        <f ca="1">IF(B1370="","",IF(ISERROR(MATCH($J1370,SorP!$B$1:$B$6230,0)),"",INDIRECT("'SorP'!$A$"&amp;MATCH($J1370,SorP!$B$1:$B$6230,0))))</f>
        <v/>
      </c>
      <c r="U1370" s="238"/>
      <c r="V1370" s="270" t="e">
        <f>IF(C1370="",NA(),MATCH($B1370&amp;$C1370,'Smelter Look-up'!$J:$J,0))</f>
        <v>#N/A</v>
      </c>
      <c r="W1370" s="271"/>
      <c r="X1370" s="271">
        <f t="shared" ca="1" si="193"/>
        <v>0</v>
      </c>
      <c r="Y1370" s="271"/>
      <c r="Z1370" s="271"/>
      <c r="AB1370" s="273" t="str">
        <f t="shared" si="194"/>
        <v/>
      </c>
    </row>
    <row r="1371" spans="1:28" s="272" customFormat="1" ht="20.399999999999999">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2"/>
        <v/>
      </c>
      <c r="T1371" s="222" t="str">
        <f ca="1">IF(B1371="","",IF(ISERROR(MATCH($J1371,SorP!$B$1:$B$6230,0)),"",INDIRECT("'SorP'!$A$"&amp;MATCH($J1371,SorP!$B$1:$B$6230,0))))</f>
        <v/>
      </c>
      <c r="U1371" s="238"/>
      <c r="V1371" s="270" t="e">
        <f>IF(C1371="",NA(),MATCH($B1371&amp;$C1371,'Smelter Look-up'!$J:$J,0))</f>
        <v>#N/A</v>
      </c>
      <c r="W1371" s="271"/>
      <c r="X1371" s="271">
        <f t="shared" ca="1" si="193"/>
        <v>0</v>
      </c>
      <c r="Y1371" s="271"/>
      <c r="Z1371" s="271"/>
      <c r="AB1371" s="273" t="str">
        <f t="shared" si="194"/>
        <v/>
      </c>
    </row>
    <row r="1372" spans="1:28" s="272" customFormat="1" ht="20.399999999999999">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96">IF(AND(C1372="Smelter not listed",OR(LEN(D1372)=0,LEN(E1372)=0)),1,0)</f>
        <v>0</v>
      </c>
      <c r="Y1372" s="271"/>
      <c r="Z1372" s="271"/>
      <c r="AB1372" s="273" t="str">
        <f t="shared" ref="AB1372:AB1402" si="197">B1372&amp;C1372</f>
        <v/>
      </c>
    </row>
    <row r="1373" spans="1:28" s="272" customFormat="1" ht="20.399999999999999">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399999999999999">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399999999999999">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399999999999999">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399999999999999">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399999999999999">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399999999999999">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399999999999999">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399999999999999">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399999999999999">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399999999999999">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399999999999999">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399999999999999">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399999999999999">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399999999999999">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399999999999999">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399999999999999">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399999999999999">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399999999999999">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399999999999999">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399999999999999">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399999999999999">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399999999999999">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399999999999999">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399999999999999">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399999999999999">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399999999999999">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399999999999999">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20.399999999999999">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5"/>
        <v/>
      </c>
      <c r="T1401" s="222" t="str">
        <f ca="1">IF(B1401="","",IF(ISERROR(MATCH($J1401,SorP!$B$1:$B$6230,0)),"",INDIRECT("'SorP'!$A$"&amp;MATCH($J1401,SorP!$B$1:$B$6230,0))))</f>
        <v/>
      </c>
      <c r="U1401" s="238"/>
      <c r="V1401" s="270" t="e">
        <f>IF(C1401="",NA(),MATCH($B1401&amp;$C1401,'Smelter Look-up'!$J:$J,0))</f>
        <v>#N/A</v>
      </c>
      <c r="W1401" s="271"/>
      <c r="X1401" s="271">
        <f t="shared" ca="1" si="196"/>
        <v>0</v>
      </c>
      <c r="Y1401" s="271"/>
      <c r="Z1401" s="271"/>
      <c r="AB1401" s="273" t="str">
        <f t="shared" si="197"/>
        <v/>
      </c>
    </row>
    <row r="1402" spans="1:28" s="272" customFormat="1" ht="20.399999999999999">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95"/>
        <v/>
      </c>
      <c r="T1402" s="222" t="str">
        <f ca="1">IF(B1402="","",IF(ISERROR(MATCH($J1402,SorP!$B$1:$B$6230,0)),"",INDIRECT("'SorP'!$A$"&amp;MATCH($J1402,SorP!$B$1:$B$6230,0))))</f>
        <v/>
      </c>
      <c r="U1402" s="238"/>
      <c r="V1402" s="270" t="e">
        <f>IF(C1402="",NA(),MATCH($B1402&amp;$C1402,'Smelter Look-up'!$J:$J,0))</f>
        <v>#N/A</v>
      </c>
      <c r="W1402" s="271"/>
      <c r="X1402" s="271">
        <f t="shared" ca="1" si="196"/>
        <v>0</v>
      </c>
      <c r="Y1402" s="271"/>
      <c r="Z1402" s="271"/>
      <c r="AB1402" s="273" t="str">
        <f t="shared" si="197"/>
        <v/>
      </c>
    </row>
    <row r="1403" spans="1:28" s="272" customFormat="1" ht="20.399999999999999">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t="shared" ref="X1403" ca="1" si="199">IF(AND(C1403="Smelter not listed",OR(LEN(D1403)=0,LEN(E1403)=0)),1,0)</f>
        <v>0</v>
      </c>
      <c r="Y1403" s="271"/>
      <c r="Z1403" s="271"/>
      <c r="AB1403" s="273" t="str">
        <f t="shared" ref="AB1403" si="200">B1403&amp;C1403</f>
        <v/>
      </c>
    </row>
    <row r="1404" spans="1:28" s="272" customFormat="1" ht="20.399999999999999">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202">IF(AND(C1404="Smelter not listed",OR(LEN(D1404)=0,LEN(E1404)=0)),1,0)</f>
        <v>0</v>
      </c>
      <c r="Y1404" s="271"/>
      <c r="Z1404" s="271"/>
      <c r="AB1404" s="273" t="str">
        <f t="shared" ref="AB1404:AB1435" si="203">B1404&amp;C1404</f>
        <v/>
      </c>
    </row>
    <row r="1405" spans="1:28" s="272" customFormat="1" ht="20.399999999999999">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399999999999999">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399999999999999">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399999999999999">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399999999999999">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399999999999999">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399999999999999">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399999999999999">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399999999999999">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399999999999999">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399999999999999">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399999999999999">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399999999999999">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399999999999999">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399999999999999">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399999999999999">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399999999999999">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399999999999999">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399999999999999">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399999999999999">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399999999999999">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399999999999999">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399999999999999">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399999999999999">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399999999999999">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399999999999999">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399999999999999">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399999999999999">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399999999999999">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399999999999999">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1"/>
        <v/>
      </c>
      <c r="T1434" s="222" t="str">
        <f ca="1">IF(B1434="","",IF(ISERROR(MATCH($J1434,SorP!$B$1:$B$6230,0)),"",INDIRECT("'SorP'!$A$"&amp;MATCH($J1434,SorP!$B$1:$B$6230,0))))</f>
        <v/>
      </c>
      <c r="U1434" s="238"/>
      <c r="V1434" s="270" t="e">
        <f>IF(C1434="",NA(),MATCH($B1434&amp;$C1434,'Smelter Look-up'!$J:$J,0))</f>
        <v>#N/A</v>
      </c>
      <c r="W1434" s="271"/>
      <c r="X1434" s="271">
        <f t="shared" ca="1" si="202"/>
        <v>0</v>
      </c>
      <c r="Y1434" s="271"/>
      <c r="Z1434" s="271"/>
      <c r="AB1434" s="273" t="str">
        <f t="shared" si="203"/>
        <v/>
      </c>
    </row>
    <row r="1435" spans="1:28" s="272" customFormat="1" ht="20.399999999999999">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1"/>
        <v/>
      </c>
      <c r="T1435" s="222" t="str">
        <f ca="1">IF(B1435="","",IF(ISERROR(MATCH($J1435,SorP!$B$1:$B$6230,0)),"",INDIRECT("'SorP'!$A$"&amp;MATCH($J1435,SorP!$B$1:$B$6230,0))))</f>
        <v/>
      </c>
      <c r="U1435" s="238"/>
      <c r="V1435" s="270" t="e">
        <f>IF(C1435="",NA(),MATCH($B1435&amp;$C1435,'Smelter Look-up'!$J:$J,0))</f>
        <v>#N/A</v>
      </c>
      <c r="W1435" s="271"/>
      <c r="X1435" s="271">
        <f t="shared" ca="1" si="202"/>
        <v>0</v>
      </c>
      <c r="Y1435" s="271"/>
      <c r="Z1435" s="271"/>
      <c r="AB1435" s="273" t="str">
        <f t="shared" si="203"/>
        <v/>
      </c>
    </row>
    <row r="1436" spans="1:28" s="272" customFormat="1" ht="20.399999999999999">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205">IF(AND(C1436="Smelter not listed",OR(LEN(D1436)=0,LEN(E1436)=0)),1,0)</f>
        <v>0</v>
      </c>
      <c r="Y1436" s="271"/>
      <c r="Z1436" s="271"/>
      <c r="AB1436" s="273" t="str">
        <f t="shared" ref="AB1436:AB1466" si="206">B1436&amp;C1436</f>
        <v/>
      </c>
    </row>
    <row r="1437" spans="1:28" s="272" customFormat="1" ht="20.399999999999999">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399999999999999">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399999999999999">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399999999999999">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399999999999999">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399999999999999">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399999999999999">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399999999999999">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399999999999999">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399999999999999">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399999999999999">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399999999999999">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399999999999999">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399999999999999">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399999999999999">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399999999999999">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399999999999999">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399999999999999">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399999999999999">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399999999999999">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399999999999999">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399999999999999">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399999999999999">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399999999999999">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399999999999999">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399999999999999">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399999999999999">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399999999999999">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20.399999999999999">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4"/>
        <v/>
      </c>
      <c r="T1465" s="222" t="str">
        <f ca="1">IF(B1465="","",IF(ISERROR(MATCH($J1465,SorP!$B$1:$B$6230,0)),"",INDIRECT("'SorP'!$A$"&amp;MATCH($J1465,SorP!$B$1:$B$6230,0))))</f>
        <v/>
      </c>
      <c r="U1465" s="238"/>
      <c r="V1465" s="270" t="e">
        <f>IF(C1465="",NA(),MATCH($B1465&amp;$C1465,'Smelter Look-up'!$J:$J,0))</f>
        <v>#N/A</v>
      </c>
      <c r="W1465" s="271"/>
      <c r="X1465" s="271">
        <f t="shared" ca="1" si="205"/>
        <v>0</v>
      </c>
      <c r="Y1465" s="271"/>
      <c r="Z1465" s="271"/>
      <c r="AB1465" s="273" t="str">
        <f t="shared" si="206"/>
        <v/>
      </c>
    </row>
    <row r="1466" spans="1:28" s="272" customFormat="1" ht="20.399999999999999">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04"/>
        <v/>
      </c>
      <c r="T1466" s="222" t="str">
        <f ca="1">IF(B1466="","",IF(ISERROR(MATCH($J1466,SorP!$B$1:$B$6230,0)),"",INDIRECT("'SorP'!$A$"&amp;MATCH($J1466,SorP!$B$1:$B$6230,0))))</f>
        <v/>
      </c>
      <c r="U1466" s="238"/>
      <c r="V1466" s="270" t="e">
        <f>IF(C1466="",NA(),MATCH($B1466&amp;$C1466,'Smelter Look-up'!$J:$J,0))</f>
        <v>#N/A</v>
      </c>
      <c r="W1466" s="271"/>
      <c r="X1466" s="271">
        <f t="shared" ca="1" si="205"/>
        <v>0</v>
      </c>
      <c r="Y1466" s="271"/>
      <c r="Z1466" s="271"/>
      <c r="AB1466" s="273" t="str">
        <f t="shared" si="206"/>
        <v/>
      </c>
    </row>
    <row r="1467" spans="1:28" s="272" customFormat="1" ht="20.399999999999999">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t="shared" ref="X1467" ca="1" si="208">IF(AND(C1467="Smelter not listed",OR(LEN(D1467)=0,LEN(E1467)=0)),1,0)</f>
        <v>0</v>
      </c>
      <c r="Y1467" s="271"/>
      <c r="Z1467" s="271"/>
      <c r="AB1467" s="273" t="str">
        <f t="shared" ref="AB1467" si="209">B1467&amp;C1467</f>
        <v/>
      </c>
    </row>
    <row r="1468" spans="1:28" s="272" customFormat="1" ht="20.399999999999999">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211">IF(AND(C1468="Smelter not listed",OR(LEN(D1468)=0,LEN(E1468)=0)),1,0)</f>
        <v>0</v>
      </c>
      <c r="Y1468" s="271"/>
      <c r="Z1468" s="271"/>
      <c r="AB1468" s="273" t="str">
        <f t="shared" ref="AB1468:AB1499" si="212">B1468&amp;C1468</f>
        <v/>
      </c>
    </row>
    <row r="1469" spans="1:28" s="272" customFormat="1" ht="20.399999999999999">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399999999999999">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399999999999999">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399999999999999">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399999999999999">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399999999999999">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399999999999999">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399999999999999">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399999999999999">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399999999999999">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399999999999999">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399999999999999">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399999999999999">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399999999999999">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399999999999999">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399999999999999">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399999999999999">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399999999999999">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399999999999999">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399999999999999">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399999999999999">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399999999999999">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399999999999999">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399999999999999">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399999999999999">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399999999999999">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399999999999999">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399999999999999">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399999999999999">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399999999999999">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0"/>
        <v/>
      </c>
      <c r="T1498" s="222" t="str">
        <f ca="1">IF(B1498="","",IF(ISERROR(MATCH($J1498,SorP!$B$1:$B$6230,0)),"",INDIRECT("'SorP'!$A$"&amp;MATCH($J1498,SorP!$B$1:$B$6230,0))))</f>
        <v/>
      </c>
      <c r="U1498" s="238"/>
      <c r="V1498" s="270" t="e">
        <f>IF(C1498="",NA(),MATCH($B1498&amp;$C1498,'Smelter Look-up'!$J:$J,0))</f>
        <v>#N/A</v>
      </c>
      <c r="W1498" s="271"/>
      <c r="X1498" s="271">
        <f t="shared" ca="1" si="211"/>
        <v>0</v>
      </c>
      <c r="Y1498" s="271"/>
      <c r="Z1498" s="271"/>
      <c r="AB1498" s="273" t="str">
        <f t="shared" si="212"/>
        <v/>
      </c>
    </row>
    <row r="1499" spans="1:28" s="272" customFormat="1" ht="20.399999999999999">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0"/>
        <v/>
      </c>
      <c r="T1499" s="222" t="str">
        <f ca="1">IF(B1499="","",IF(ISERROR(MATCH($J1499,SorP!$B$1:$B$6230,0)),"",INDIRECT("'SorP'!$A$"&amp;MATCH($J1499,SorP!$B$1:$B$6230,0))))</f>
        <v/>
      </c>
      <c r="U1499" s="238"/>
      <c r="V1499" s="270" t="e">
        <f>IF(C1499="",NA(),MATCH($B1499&amp;$C1499,'Smelter Look-up'!$J:$J,0))</f>
        <v>#N/A</v>
      </c>
      <c r="W1499" s="271"/>
      <c r="X1499" s="271">
        <f t="shared" ca="1" si="211"/>
        <v>0</v>
      </c>
      <c r="Y1499" s="271"/>
      <c r="Z1499" s="271"/>
      <c r="AB1499" s="273" t="str">
        <f t="shared" si="212"/>
        <v/>
      </c>
    </row>
    <row r="1500" spans="1:28" s="272" customFormat="1" ht="20.399999999999999">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214">IF(AND(C1500="Smelter not listed",OR(LEN(D1500)=0,LEN(E1500)=0)),1,0)</f>
        <v>0</v>
      </c>
      <c r="Y1500" s="271"/>
      <c r="Z1500" s="271"/>
      <c r="AB1500" s="273" t="str">
        <f t="shared" ref="AB1500:AB1530" si="215">B1500&amp;C1500</f>
        <v/>
      </c>
    </row>
    <row r="1501" spans="1:28" s="272" customFormat="1" ht="20.399999999999999">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399999999999999">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399999999999999">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399999999999999">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399999999999999">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399999999999999">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399999999999999">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399999999999999">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399999999999999">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399999999999999">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399999999999999">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399999999999999">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399999999999999">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399999999999999">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399999999999999">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399999999999999">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399999999999999">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399999999999999">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399999999999999">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399999999999999">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399999999999999">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399999999999999">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399999999999999">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399999999999999">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399999999999999">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399999999999999">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399999999999999">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399999999999999">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20.399999999999999">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3"/>
        <v/>
      </c>
      <c r="T1529" s="222" t="str">
        <f ca="1">IF(B1529="","",IF(ISERROR(MATCH($J1529,SorP!$B$1:$B$6230,0)),"",INDIRECT("'SorP'!$A$"&amp;MATCH($J1529,SorP!$B$1:$B$6230,0))))</f>
        <v/>
      </c>
      <c r="U1529" s="238"/>
      <c r="V1529" s="270" t="e">
        <f>IF(C1529="",NA(),MATCH($B1529&amp;$C1529,'Smelter Look-up'!$J:$J,0))</f>
        <v>#N/A</v>
      </c>
      <c r="W1529" s="271"/>
      <c r="X1529" s="271">
        <f t="shared" ca="1" si="214"/>
        <v>0</v>
      </c>
      <c r="Y1529" s="271"/>
      <c r="Z1529" s="271"/>
      <c r="AB1529" s="273" t="str">
        <f t="shared" si="215"/>
        <v/>
      </c>
    </row>
    <row r="1530" spans="1:28" s="272" customFormat="1" ht="20.399999999999999">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3"/>
        <v/>
      </c>
      <c r="T1530" s="222" t="str">
        <f ca="1">IF(B1530="","",IF(ISERROR(MATCH($J1530,SorP!$B$1:$B$6230,0)),"",INDIRECT("'SorP'!$A$"&amp;MATCH($J1530,SorP!$B$1:$B$6230,0))))</f>
        <v/>
      </c>
      <c r="U1530" s="238"/>
      <c r="V1530" s="270" t="e">
        <f>IF(C1530="",NA(),MATCH($B1530&amp;$C1530,'Smelter Look-up'!$J:$J,0))</f>
        <v>#N/A</v>
      </c>
      <c r="W1530" s="271"/>
      <c r="X1530" s="271">
        <f t="shared" ca="1" si="214"/>
        <v>0</v>
      </c>
      <c r="Y1530" s="271"/>
      <c r="Z1530" s="271"/>
      <c r="AB1530" s="273" t="str">
        <f t="shared" si="215"/>
        <v/>
      </c>
    </row>
    <row r="1531" spans="1:28" s="272" customFormat="1" ht="20.399999999999999">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t="shared" ref="X1531" ca="1" si="217">IF(AND(C1531="Smelter not listed",OR(LEN(D1531)=0,LEN(E1531)=0)),1,0)</f>
        <v>0</v>
      </c>
      <c r="Y1531" s="271"/>
      <c r="Z1531" s="271"/>
      <c r="AB1531" s="273" t="str">
        <f t="shared" ref="AB1531" si="218">B1531&amp;C1531</f>
        <v/>
      </c>
    </row>
    <row r="1532" spans="1:28" s="272" customFormat="1" ht="20.399999999999999">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220">IF(AND(C1532="Smelter not listed",OR(LEN(D1532)=0,LEN(E1532)=0)),1,0)</f>
        <v>0</v>
      </c>
      <c r="Y1532" s="271"/>
      <c r="Z1532" s="271"/>
      <c r="AB1532" s="273" t="str">
        <f t="shared" ref="AB1532:AB1563" si="221">B1532&amp;C1532</f>
        <v/>
      </c>
    </row>
    <row r="1533" spans="1:28" s="272" customFormat="1" ht="20.399999999999999">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399999999999999">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399999999999999">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399999999999999">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399999999999999">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399999999999999">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399999999999999">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399999999999999">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399999999999999">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399999999999999">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399999999999999">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399999999999999">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399999999999999">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399999999999999">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399999999999999">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399999999999999">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399999999999999">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399999999999999">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399999999999999">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399999999999999">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399999999999999">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399999999999999">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399999999999999">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399999999999999">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399999999999999">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399999999999999">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399999999999999">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399999999999999">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399999999999999">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399999999999999">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19"/>
        <v/>
      </c>
      <c r="T1562" s="222" t="str">
        <f ca="1">IF(B1562="","",IF(ISERROR(MATCH($J1562,SorP!$B$1:$B$6230,0)),"",INDIRECT("'SorP'!$A$"&amp;MATCH($J1562,SorP!$B$1:$B$6230,0))))</f>
        <v/>
      </c>
      <c r="U1562" s="238"/>
      <c r="V1562" s="270" t="e">
        <f>IF(C1562="",NA(),MATCH($B1562&amp;$C1562,'Smelter Look-up'!$J:$J,0))</f>
        <v>#N/A</v>
      </c>
      <c r="W1562" s="271"/>
      <c r="X1562" s="271">
        <f t="shared" ca="1" si="220"/>
        <v>0</v>
      </c>
      <c r="Y1562" s="271"/>
      <c r="Z1562" s="271"/>
      <c r="AB1562" s="273" t="str">
        <f t="shared" si="221"/>
        <v/>
      </c>
    </row>
    <row r="1563" spans="1:28" s="272" customFormat="1" ht="20.399999999999999">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19"/>
        <v/>
      </c>
      <c r="T1563" s="222" t="str">
        <f ca="1">IF(B1563="","",IF(ISERROR(MATCH($J1563,SorP!$B$1:$B$6230,0)),"",INDIRECT("'SorP'!$A$"&amp;MATCH($J1563,SorP!$B$1:$B$6230,0))))</f>
        <v/>
      </c>
      <c r="U1563" s="238"/>
      <c r="V1563" s="270" t="e">
        <f>IF(C1563="",NA(),MATCH($B1563&amp;$C1563,'Smelter Look-up'!$J:$J,0))</f>
        <v>#N/A</v>
      </c>
      <c r="W1563" s="271"/>
      <c r="X1563" s="271">
        <f t="shared" ca="1" si="220"/>
        <v>0</v>
      </c>
      <c r="Y1563" s="271"/>
      <c r="Z1563" s="271"/>
      <c r="AB1563" s="273" t="str">
        <f t="shared" si="221"/>
        <v/>
      </c>
    </row>
    <row r="1564" spans="1:28" s="272" customFormat="1" ht="20.399999999999999">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223">IF(AND(C1564="Smelter not listed",OR(LEN(D1564)=0,LEN(E1564)=0)),1,0)</f>
        <v>0</v>
      </c>
      <c r="Y1564" s="271"/>
      <c r="Z1564" s="271"/>
      <c r="AB1564" s="273" t="str">
        <f t="shared" ref="AB1564:AB1594" si="224">B1564&amp;C1564</f>
        <v/>
      </c>
    </row>
    <row r="1565" spans="1:28" s="272" customFormat="1" ht="20.399999999999999">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399999999999999">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399999999999999">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399999999999999">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399999999999999">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399999999999999">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399999999999999">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399999999999999">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399999999999999">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399999999999999">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399999999999999">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399999999999999">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399999999999999">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399999999999999">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399999999999999">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399999999999999">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399999999999999">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399999999999999">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399999999999999">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399999999999999">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399999999999999">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399999999999999">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399999999999999">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399999999999999">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399999999999999">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399999999999999">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399999999999999">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399999999999999">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20.399999999999999">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2"/>
        <v/>
      </c>
      <c r="T1593" s="222" t="str">
        <f ca="1">IF(B1593="","",IF(ISERROR(MATCH($J1593,SorP!$B$1:$B$6230,0)),"",INDIRECT("'SorP'!$A$"&amp;MATCH($J1593,SorP!$B$1:$B$6230,0))))</f>
        <v/>
      </c>
      <c r="U1593" s="238"/>
      <c r="V1593" s="270" t="e">
        <f>IF(C1593="",NA(),MATCH($B1593&amp;$C1593,'Smelter Look-up'!$J:$J,0))</f>
        <v>#N/A</v>
      </c>
      <c r="W1593" s="271"/>
      <c r="X1593" s="271">
        <f t="shared" ca="1" si="223"/>
        <v>0</v>
      </c>
      <c r="Y1593" s="271"/>
      <c r="Z1593" s="271"/>
      <c r="AB1593" s="273" t="str">
        <f t="shared" si="224"/>
        <v/>
      </c>
    </row>
    <row r="1594" spans="1:28" s="272" customFormat="1" ht="20.399999999999999">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2"/>
        <v/>
      </c>
      <c r="T1594" s="222" t="str">
        <f ca="1">IF(B1594="","",IF(ISERROR(MATCH($J1594,SorP!$B$1:$B$6230,0)),"",INDIRECT("'SorP'!$A$"&amp;MATCH($J1594,SorP!$B$1:$B$6230,0))))</f>
        <v/>
      </c>
      <c r="U1594" s="238"/>
      <c r="V1594" s="270" t="e">
        <f>IF(C1594="",NA(),MATCH($B1594&amp;$C1594,'Smelter Look-up'!$J:$J,0))</f>
        <v>#N/A</v>
      </c>
      <c r="W1594" s="271"/>
      <c r="X1594" s="271">
        <f t="shared" ca="1" si="223"/>
        <v>0</v>
      </c>
      <c r="Y1594" s="271"/>
      <c r="Z1594" s="271"/>
      <c r="AB1594" s="273" t="str">
        <f t="shared" si="224"/>
        <v/>
      </c>
    </row>
    <row r="1595" spans="1:28" s="272" customFormat="1" ht="20.399999999999999">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t="shared" ref="X1595" ca="1" si="226">IF(AND(C1595="Smelter not listed",OR(LEN(D1595)=0,LEN(E1595)=0)),1,0)</f>
        <v>0</v>
      </c>
      <c r="Y1595" s="271"/>
      <c r="Z1595" s="271"/>
      <c r="AB1595" s="273" t="str">
        <f t="shared" ref="AB1595" si="227">B1595&amp;C1595</f>
        <v/>
      </c>
    </row>
    <row r="1596" spans="1:28" s="272" customFormat="1" ht="20.399999999999999">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229">IF(AND(C1596="Smelter not listed",OR(LEN(D1596)=0,LEN(E1596)=0)),1,0)</f>
        <v>0</v>
      </c>
      <c r="Y1596" s="271"/>
      <c r="Z1596" s="271"/>
      <c r="AB1596" s="273" t="str">
        <f t="shared" ref="AB1596:AB1627" si="230">B1596&amp;C1596</f>
        <v/>
      </c>
    </row>
    <row r="1597" spans="1:28" s="272" customFormat="1" ht="20.399999999999999">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399999999999999">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399999999999999">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399999999999999">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399999999999999">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399999999999999">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399999999999999">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399999999999999">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399999999999999">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399999999999999">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399999999999999">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399999999999999">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399999999999999">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399999999999999">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399999999999999">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399999999999999">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399999999999999">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399999999999999">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399999999999999">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399999999999999">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399999999999999">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399999999999999">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399999999999999">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399999999999999">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399999999999999">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399999999999999">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399999999999999">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399999999999999">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399999999999999">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399999999999999">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28"/>
        <v/>
      </c>
      <c r="T1626" s="222" t="str">
        <f ca="1">IF(B1626="","",IF(ISERROR(MATCH($J1626,SorP!$B$1:$B$6230,0)),"",INDIRECT("'SorP'!$A$"&amp;MATCH($J1626,SorP!$B$1:$B$6230,0))))</f>
        <v/>
      </c>
      <c r="U1626" s="238"/>
      <c r="V1626" s="270" t="e">
        <f>IF(C1626="",NA(),MATCH($B1626&amp;$C1626,'Smelter Look-up'!$J:$J,0))</f>
        <v>#N/A</v>
      </c>
      <c r="W1626" s="271"/>
      <c r="X1626" s="271">
        <f t="shared" ca="1" si="229"/>
        <v>0</v>
      </c>
      <c r="Y1626" s="271"/>
      <c r="Z1626" s="271"/>
      <c r="AB1626" s="273" t="str">
        <f t="shared" si="230"/>
        <v/>
      </c>
    </row>
    <row r="1627" spans="1:28" s="272" customFormat="1" ht="20.399999999999999">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28"/>
        <v/>
      </c>
      <c r="T1627" s="222" t="str">
        <f ca="1">IF(B1627="","",IF(ISERROR(MATCH($J1627,SorP!$B$1:$B$6230,0)),"",INDIRECT("'SorP'!$A$"&amp;MATCH($J1627,SorP!$B$1:$B$6230,0))))</f>
        <v/>
      </c>
      <c r="U1627" s="238"/>
      <c r="V1627" s="270" t="e">
        <f>IF(C1627="",NA(),MATCH($B1627&amp;$C1627,'Smelter Look-up'!$J:$J,0))</f>
        <v>#N/A</v>
      </c>
      <c r="W1627" s="271"/>
      <c r="X1627" s="271">
        <f t="shared" ca="1" si="229"/>
        <v>0</v>
      </c>
      <c r="Y1627" s="271"/>
      <c r="Z1627" s="271"/>
      <c r="AB1627" s="273" t="str">
        <f t="shared" si="230"/>
        <v/>
      </c>
    </row>
    <row r="1628" spans="1:28" s="272" customFormat="1" ht="20.399999999999999">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232">IF(AND(C1628="Smelter not listed",OR(LEN(D1628)=0,LEN(E1628)=0)),1,0)</f>
        <v>0</v>
      </c>
      <c r="Y1628" s="271"/>
      <c r="Z1628" s="271"/>
      <c r="AB1628" s="273" t="str">
        <f t="shared" ref="AB1628:AB1658" si="233">B1628&amp;C1628</f>
        <v/>
      </c>
    </row>
    <row r="1629" spans="1:28" s="272" customFormat="1" ht="20.399999999999999">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399999999999999">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399999999999999">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399999999999999">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399999999999999">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399999999999999">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399999999999999">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399999999999999">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399999999999999">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399999999999999">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399999999999999">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399999999999999">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399999999999999">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399999999999999">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399999999999999">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399999999999999">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399999999999999">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399999999999999">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399999999999999">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399999999999999">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399999999999999">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399999999999999">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399999999999999">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399999999999999">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399999999999999">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399999999999999">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399999999999999">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399999999999999">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20.399999999999999">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1"/>
        <v/>
      </c>
      <c r="T1657" s="222" t="str">
        <f ca="1">IF(B1657="","",IF(ISERROR(MATCH($J1657,SorP!$B$1:$B$6230,0)),"",INDIRECT("'SorP'!$A$"&amp;MATCH($J1657,SorP!$B$1:$B$6230,0))))</f>
        <v/>
      </c>
      <c r="U1657" s="238"/>
      <c r="V1657" s="270" t="e">
        <f>IF(C1657="",NA(),MATCH($B1657&amp;$C1657,'Smelter Look-up'!$J:$J,0))</f>
        <v>#N/A</v>
      </c>
      <c r="W1657" s="271"/>
      <c r="X1657" s="271">
        <f t="shared" ca="1" si="232"/>
        <v>0</v>
      </c>
      <c r="Y1657" s="271"/>
      <c r="Z1657" s="271"/>
      <c r="AB1657" s="273" t="str">
        <f t="shared" si="233"/>
        <v/>
      </c>
    </row>
    <row r="1658" spans="1:28" s="272" customFormat="1" ht="20.399999999999999">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1"/>
        <v/>
      </c>
      <c r="T1658" s="222" t="str">
        <f ca="1">IF(B1658="","",IF(ISERROR(MATCH($J1658,SorP!$B$1:$B$6230,0)),"",INDIRECT("'SorP'!$A$"&amp;MATCH($J1658,SorP!$B$1:$B$6230,0))))</f>
        <v/>
      </c>
      <c r="U1658" s="238"/>
      <c r="V1658" s="270" t="e">
        <f>IF(C1658="",NA(),MATCH($B1658&amp;$C1658,'Smelter Look-up'!$J:$J,0))</f>
        <v>#N/A</v>
      </c>
      <c r="W1658" s="271"/>
      <c r="X1658" s="271">
        <f t="shared" ca="1" si="232"/>
        <v>0</v>
      </c>
      <c r="Y1658" s="271"/>
      <c r="Z1658" s="271"/>
      <c r="AB1658" s="273" t="str">
        <f t="shared" si="233"/>
        <v/>
      </c>
    </row>
    <row r="1659" spans="1:28" s="272" customFormat="1" ht="20.399999999999999">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t="shared" ref="X1659" ca="1" si="235">IF(AND(C1659="Smelter not listed",OR(LEN(D1659)=0,LEN(E1659)=0)),1,0)</f>
        <v>0</v>
      </c>
      <c r="Y1659" s="271"/>
      <c r="Z1659" s="271"/>
      <c r="AB1659" s="273" t="str">
        <f t="shared" ref="AB1659" si="236">B1659&amp;C1659</f>
        <v/>
      </c>
    </row>
    <row r="1660" spans="1:28" s="272" customFormat="1" ht="20.399999999999999">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238">IF(AND(C1660="Smelter not listed",OR(LEN(D1660)=0,LEN(E1660)=0)),1,0)</f>
        <v>0</v>
      </c>
      <c r="Y1660" s="271"/>
      <c r="Z1660" s="271"/>
      <c r="AB1660" s="273" t="str">
        <f t="shared" ref="AB1660:AB1691" si="239">B1660&amp;C1660</f>
        <v/>
      </c>
    </row>
    <row r="1661" spans="1:28" s="272" customFormat="1" ht="20.399999999999999">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399999999999999">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399999999999999">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399999999999999">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399999999999999">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399999999999999">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399999999999999">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399999999999999">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399999999999999">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399999999999999">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399999999999999">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399999999999999">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399999999999999">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399999999999999">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399999999999999">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399999999999999">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399999999999999">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399999999999999">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399999999999999">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399999999999999">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399999999999999">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399999999999999">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399999999999999">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399999999999999">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399999999999999">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399999999999999">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399999999999999">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399999999999999">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399999999999999">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399999999999999">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37"/>
        <v/>
      </c>
      <c r="T1690" s="222" t="str">
        <f ca="1">IF(B1690="","",IF(ISERROR(MATCH($J1690,SorP!$B$1:$B$6230,0)),"",INDIRECT("'SorP'!$A$"&amp;MATCH($J1690,SorP!$B$1:$B$6230,0))))</f>
        <v/>
      </c>
      <c r="U1690" s="238"/>
      <c r="V1690" s="270" t="e">
        <f>IF(C1690="",NA(),MATCH($B1690&amp;$C1690,'Smelter Look-up'!$J:$J,0))</f>
        <v>#N/A</v>
      </c>
      <c r="W1690" s="271"/>
      <c r="X1690" s="271">
        <f t="shared" ca="1" si="238"/>
        <v>0</v>
      </c>
      <c r="Y1690" s="271"/>
      <c r="Z1690" s="271"/>
      <c r="AB1690" s="273" t="str">
        <f t="shared" si="239"/>
        <v/>
      </c>
    </row>
    <row r="1691" spans="1:28" s="272" customFormat="1" ht="20.399999999999999">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37"/>
        <v/>
      </c>
      <c r="T1691" s="222" t="str">
        <f ca="1">IF(B1691="","",IF(ISERROR(MATCH($J1691,SorP!$B$1:$B$6230,0)),"",INDIRECT("'SorP'!$A$"&amp;MATCH($J1691,SorP!$B$1:$B$6230,0))))</f>
        <v/>
      </c>
      <c r="U1691" s="238"/>
      <c r="V1691" s="270" t="e">
        <f>IF(C1691="",NA(),MATCH($B1691&amp;$C1691,'Smelter Look-up'!$J:$J,0))</f>
        <v>#N/A</v>
      </c>
      <c r="W1691" s="271"/>
      <c r="X1691" s="271">
        <f t="shared" ca="1" si="238"/>
        <v>0</v>
      </c>
      <c r="Y1691" s="271"/>
      <c r="Z1691" s="271"/>
      <c r="AB1691" s="273" t="str">
        <f t="shared" si="239"/>
        <v/>
      </c>
    </row>
    <row r="1692" spans="1:28" s="272" customFormat="1" ht="20.399999999999999">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241">IF(AND(C1692="Smelter not listed",OR(LEN(D1692)=0,LEN(E1692)=0)),1,0)</f>
        <v>0</v>
      </c>
      <c r="Y1692" s="271"/>
      <c r="Z1692" s="271"/>
      <c r="AB1692" s="273" t="str">
        <f t="shared" ref="AB1692:AB1722" si="242">B1692&amp;C1692</f>
        <v/>
      </c>
    </row>
    <row r="1693" spans="1:28" s="272" customFormat="1" ht="20.399999999999999">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399999999999999">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399999999999999">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399999999999999">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399999999999999">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399999999999999">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399999999999999">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399999999999999">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399999999999999">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399999999999999">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399999999999999">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399999999999999">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399999999999999">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399999999999999">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399999999999999">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399999999999999">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399999999999999">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399999999999999">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399999999999999">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399999999999999">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399999999999999">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399999999999999">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399999999999999">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399999999999999">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399999999999999">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399999999999999">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399999999999999">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399999999999999">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20.399999999999999">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0"/>
        <v/>
      </c>
      <c r="T1721" s="222" t="str">
        <f ca="1">IF(B1721="","",IF(ISERROR(MATCH($J1721,SorP!$B$1:$B$6230,0)),"",INDIRECT("'SorP'!$A$"&amp;MATCH($J1721,SorP!$B$1:$B$6230,0))))</f>
        <v/>
      </c>
      <c r="U1721" s="238"/>
      <c r="V1721" s="270" t="e">
        <f>IF(C1721="",NA(),MATCH($B1721&amp;$C1721,'Smelter Look-up'!$J:$J,0))</f>
        <v>#N/A</v>
      </c>
      <c r="W1721" s="271"/>
      <c r="X1721" s="271">
        <f t="shared" ca="1" si="241"/>
        <v>0</v>
      </c>
      <c r="Y1721" s="271"/>
      <c r="Z1721" s="271"/>
      <c r="AB1721" s="273" t="str">
        <f t="shared" si="242"/>
        <v/>
      </c>
    </row>
    <row r="1722" spans="1:28" s="272" customFormat="1" ht="20.399999999999999">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0"/>
        <v/>
      </c>
      <c r="T1722" s="222" t="str">
        <f ca="1">IF(B1722="","",IF(ISERROR(MATCH($J1722,SorP!$B$1:$B$6230,0)),"",INDIRECT("'SorP'!$A$"&amp;MATCH($J1722,SorP!$B$1:$B$6230,0))))</f>
        <v/>
      </c>
      <c r="U1722" s="238"/>
      <c r="V1722" s="270" t="e">
        <f>IF(C1722="",NA(),MATCH($B1722&amp;$C1722,'Smelter Look-up'!$J:$J,0))</f>
        <v>#N/A</v>
      </c>
      <c r="W1722" s="271"/>
      <c r="X1722" s="271">
        <f t="shared" ca="1" si="241"/>
        <v>0</v>
      </c>
      <c r="Y1722" s="271"/>
      <c r="Z1722" s="271"/>
      <c r="AB1722" s="273" t="str">
        <f t="shared" si="242"/>
        <v/>
      </c>
    </row>
    <row r="1723" spans="1:28" s="272" customFormat="1" ht="20.399999999999999">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t="shared" ref="X1723" ca="1" si="244">IF(AND(C1723="Smelter not listed",OR(LEN(D1723)=0,LEN(E1723)=0)),1,0)</f>
        <v>0</v>
      </c>
      <c r="Y1723" s="271"/>
      <c r="Z1723" s="271"/>
      <c r="AB1723" s="273" t="str">
        <f t="shared" ref="AB1723" si="245">B1723&amp;C1723</f>
        <v/>
      </c>
    </row>
    <row r="1724" spans="1:28" s="272" customFormat="1" ht="20.399999999999999">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247">IF(AND(C1724="Smelter not listed",OR(LEN(D1724)=0,LEN(E1724)=0)),1,0)</f>
        <v>0</v>
      </c>
      <c r="Y1724" s="271"/>
      <c r="Z1724" s="271"/>
      <c r="AB1724" s="273" t="str">
        <f t="shared" ref="AB1724:AB1755" si="248">B1724&amp;C1724</f>
        <v/>
      </c>
    </row>
    <row r="1725" spans="1:28" s="272" customFormat="1" ht="20.399999999999999">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399999999999999">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399999999999999">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399999999999999">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399999999999999">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399999999999999">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399999999999999">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399999999999999">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399999999999999">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399999999999999">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399999999999999">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399999999999999">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399999999999999">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399999999999999">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399999999999999">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399999999999999">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399999999999999">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399999999999999">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399999999999999">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399999999999999">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399999999999999">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399999999999999">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399999999999999">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399999999999999">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399999999999999">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399999999999999">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399999999999999">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399999999999999">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399999999999999">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399999999999999">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6"/>
        <v/>
      </c>
      <c r="T1754" s="222" t="str">
        <f ca="1">IF(B1754="","",IF(ISERROR(MATCH($J1754,SorP!$B$1:$B$6230,0)),"",INDIRECT("'SorP'!$A$"&amp;MATCH($J1754,SorP!$B$1:$B$6230,0))))</f>
        <v/>
      </c>
      <c r="U1754" s="238"/>
      <c r="V1754" s="270" t="e">
        <f>IF(C1754="",NA(),MATCH($B1754&amp;$C1754,'Smelter Look-up'!$J:$J,0))</f>
        <v>#N/A</v>
      </c>
      <c r="W1754" s="271"/>
      <c r="X1754" s="271">
        <f t="shared" ca="1" si="247"/>
        <v>0</v>
      </c>
      <c r="Y1754" s="271"/>
      <c r="Z1754" s="271"/>
      <c r="AB1754" s="273" t="str">
        <f t="shared" si="248"/>
        <v/>
      </c>
    </row>
    <row r="1755" spans="1:28" s="272" customFormat="1" ht="20.399999999999999">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6"/>
        <v/>
      </c>
      <c r="T1755" s="222" t="str">
        <f ca="1">IF(B1755="","",IF(ISERROR(MATCH($J1755,SorP!$B$1:$B$6230,0)),"",INDIRECT("'SorP'!$A$"&amp;MATCH($J1755,SorP!$B$1:$B$6230,0))))</f>
        <v/>
      </c>
      <c r="U1755" s="238"/>
      <c r="V1755" s="270" t="e">
        <f>IF(C1755="",NA(),MATCH($B1755&amp;$C1755,'Smelter Look-up'!$J:$J,0))</f>
        <v>#N/A</v>
      </c>
      <c r="W1755" s="271"/>
      <c r="X1755" s="271">
        <f t="shared" ca="1" si="247"/>
        <v>0</v>
      </c>
      <c r="Y1755" s="271"/>
      <c r="Z1755" s="271"/>
      <c r="AB1755" s="273" t="str">
        <f t="shared" si="248"/>
        <v/>
      </c>
    </row>
    <row r="1756" spans="1:28" s="272" customFormat="1" ht="20.399999999999999">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250">IF(AND(C1756="Smelter not listed",OR(LEN(D1756)=0,LEN(E1756)=0)),1,0)</f>
        <v>0</v>
      </c>
      <c r="Y1756" s="271"/>
      <c r="Z1756" s="271"/>
      <c r="AB1756" s="273" t="str">
        <f t="shared" ref="AB1756:AB1786" si="251">B1756&amp;C1756</f>
        <v/>
      </c>
    </row>
    <row r="1757" spans="1:28" s="272" customFormat="1" ht="20.399999999999999">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399999999999999">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399999999999999">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399999999999999">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399999999999999">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399999999999999">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399999999999999">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399999999999999">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399999999999999">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399999999999999">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399999999999999">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399999999999999">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399999999999999">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399999999999999">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399999999999999">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399999999999999">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399999999999999">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399999999999999">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399999999999999">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399999999999999">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399999999999999">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399999999999999">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399999999999999">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399999999999999">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399999999999999">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399999999999999">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399999999999999">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399999999999999">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20.399999999999999">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49"/>
        <v/>
      </c>
      <c r="T1785" s="222" t="str">
        <f ca="1">IF(B1785="","",IF(ISERROR(MATCH($J1785,SorP!$B$1:$B$6230,0)),"",INDIRECT("'SorP'!$A$"&amp;MATCH($J1785,SorP!$B$1:$B$6230,0))))</f>
        <v/>
      </c>
      <c r="U1785" s="238"/>
      <c r="V1785" s="270" t="e">
        <f>IF(C1785="",NA(),MATCH($B1785&amp;$C1785,'Smelter Look-up'!$J:$J,0))</f>
        <v>#N/A</v>
      </c>
      <c r="W1785" s="271"/>
      <c r="X1785" s="271">
        <f t="shared" ca="1" si="250"/>
        <v>0</v>
      </c>
      <c r="Y1785" s="271"/>
      <c r="Z1785" s="271"/>
      <c r="AB1785" s="273" t="str">
        <f t="shared" si="251"/>
        <v/>
      </c>
    </row>
    <row r="1786" spans="1:28" s="272" customFormat="1" ht="20.399999999999999">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49"/>
        <v/>
      </c>
      <c r="T1786" s="222" t="str">
        <f ca="1">IF(B1786="","",IF(ISERROR(MATCH($J1786,SorP!$B$1:$B$6230,0)),"",INDIRECT("'SorP'!$A$"&amp;MATCH($J1786,SorP!$B$1:$B$6230,0))))</f>
        <v/>
      </c>
      <c r="U1786" s="238"/>
      <c r="V1786" s="270" t="e">
        <f>IF(C1786="",NA(),MATCH($B1786&amp;$C1786,'Smelter Look-up'!$J:$J,0))</f>
        <v>#N/A</v>
      </c>
      <c r="W1786" s="271"/>
      <c r="X1786" s="271">
        <f t="shared" ca="1" si="250"/>
        <v>0</v>
      </c>
      <c r="Y1786" s="271"/>
      <c r="Z1786" s="271"/>
      <c r="AB1786" s="273" t="str">
        <f t="shared" si="251"/>
        <v/>
      </c>
    </row>
    <row r="1787" spans="1:28" s="272" customFormat="1" ht="20.399999999999999">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t="shared" ref="X1787" ca="1" si="253">IF(AND(C1787="Smelter not listed",OR(LEN(D1787)=0,LEN(E1787)=0)),1,0)</f>
        <v>0</v>
      </c>
      <c r="Y1787" s="271"/>
      <c r="Z1787" s="271"/>
      <c r="AB1787" s="273" t="str">
        <f t="shared" ref="AB1787" si="254">B1787&amp;C1787</f>
        <v/>
      </c>
    </row>
    <row r="1788" spans="1:28" s="272" customFormat="1" ht="20.399999999999999">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256">IF(AND(C1788="Smelter not listed",OR(LEN(D1788)=0,LEN(E1788)=0)),1,0)</f>
        <v>0</v>
      </c>
      <c r="Y1788" s="271"/>
      <c r="Z1788" s="271"/>
      <c r="AB1788" s="273" t="str">
        <f t="shared" ref="AB1788:AB1819" si="257">B1788&amp;C1788</f>
        <v/>
      </c>
    </row>
    <row r="1789" spans="1:28" s="272" customFormat="1" ht="20.399999999999999">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399999999999999">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399999999999999">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399999999999999">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399999999999999">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399999999999999">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399999999999999">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399999999999999">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399999999999999">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399999999999999">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399999999999999">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399999999999999">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399999999999999">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399999999999999">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399999999999999">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399999999999999">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399999999999999">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399999999999999">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399999999999999">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399999999999999">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399999999999999">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399999999999999">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399999999999999">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399999999999999">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399999999999999">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399999999999999">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399999999999999">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399999999999999">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399999999999999">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399999999999999">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5"/>
        <v/>
      </c>
      <c r="T1818" s="222" t="str">
        <f ca="1">IF(B1818="","",IF(ISERROR(MATCH($J1818,SorP!$B$1:$B$6230,0)),"",INDIRECT("'SorP'!$A$"&amp;MATCH($J1818,SorP!$B$1:$B$6230,0))))</f>
        <v/>
      </c>
      <c r="U1818" s="238"/>
      <c r="V1818" s="270" t="e">
        <f>IF(C1818="",NA(),MATCH($B1818&amp;$C1818,'Smelter Look-up'!$J:$J,0))</f>
        <v>#N/A</v>
      </c>
      <c r="W1818" s="271"/>
      <c r="X1818" s="271">
        <f t="shared" ca="1" si="256"/>
        <v>0</v>
      </c>
      <c r="Y1818" s="271"/>
      <c r="Z1818" s="271"/>
      <c r="AB1818" s="273" t="str">
        <f t="shared" si="257"/>
        <v/>
      </c>
    </row>
    <row r="1819" spans="1:28" s="272" customFormat="1" ht="20.399999999999999">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5"/>
        <v/>
      </c>
      <c r="T1819" s="222" t="str">
        <f ca="1">IF(B1819="","",IF(ISERROR(MATCH($J1819,SorP!$B$1:$B$6230,0)),"",INDIRECT("'SorP'!$A$"&amp;MATCH($J1819,SorP!$B$1:$B$6230,0))))</f>
        <v/>
      </c>
      <c r="U1819" s="238"/>
      <c r="V1819" s="270" t="e">
        <f>IF(C1819="",NA(),MATCH($B1819&amp;$C1819,'Smelter Look-up'!$J:$J,0))</f>
        <v>#N/A</v>
      </c>
      <c r="W1819" s="271"/>
      <c r="X1819" s="271">
        <f t="shared" ca="1" si="256"/>
        <v>0</v>
      </c>
      <c r="Y1819" s="271"/>
      <c r="Z1819" s="271"/>
      <c r="AB1819" s="273" t="str">
        <f t="shared" si="257"/>
        <v/>
      </c>
    </row>
    <row r="1820" spans="1:28" s="272" customFormat="1" ht="20.399999999999999">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259">IF(AND(C1820="Smelter not listed",OR(LEN(D1820)=0,LEN(E1820)=0)),1,0)</f>
        <v>0</v>
      </c>
      <c r="Y1820" s="271"/>
      <c r="Z1820" s="271"/>
      <c r="AB1820" s="273" t="str">
        <f t="shared" ref="AB1820:AB1850" si="260">B1820&amp;C1820</f>
        <v/>
      </c>
    </row>
    <row r="1821" spans="1:28" s="272" customFormat="1" ht="20.399999999999999">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399999999999999">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399999999999999">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399999999999999">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399999999999999">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399999999999999">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399999999999999">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399999999999999">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399999999999999">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399999999999999">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399999999999999">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399999999999999">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399999999999999">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399999999999999">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399999999999999">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399999999999999">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399999999999999">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399999999999999">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399999999999999">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399999999999999">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399999999999999">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399999999999999">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399999999999999">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399999999999999">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399999999999999">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399999999999999">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399999999999999">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399999999999999">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20.399999999999999">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58"/>
        <v/>
      </c>
      <c r="T1849" s="222" t="str">
        <f ca="1">IF(B1849="","",IF(ISERROR(MATCH($J1849,SorP!$B$1:$B$6230,0)),"",INDIRECT("'SorP'!$A$"&amp;MATCH($J1849,SorP!$B$1:$B$6230,0))))</f>
        <v/>
      </c>
      <c r="U1849" s="238"/>
      <c r="V1849" s="270" t="e">
        <f>IF(C1849="",NA(),MATCH($B1849&amp;$C1849,'Smelter Look-up'!$J:$J,0))</f>
        <v>#N/A</v>
      </c>
      <c r="W1849" s="271"/>
      <c r="X1849" s="271">
        <f t="shared" ca="1" si="259"/>
        <v>0</v>
      </c>
      <c r="Y1849" s="271"/>
      <c r="Z1849" s="271"/>
      <c r="AB1849" s="273" t="str">
        <f t="shared" si="260"/>
        <v/>
      </c>
    </row>
    <row r="1850" spans="1:28" s="272" customFormat="1" ht="20.399999999999999">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58"/>
        <v/>
      </c>
      <c r="T1850" s="222" t="str">
        <f ca="1">IF(B1850="","",IF(ISERROR(MATCH($J1850,SorP!$B$1:$B$6230,0)),"",INDIRECT("'SorP'!$A$"&amp;MATCH($J1850,SorP!$B$1:$B$6230,0))))</f>
        <v/>
      </c>
      <c r="U1850" s="238"/>
      <c r="V1850" s="270" t="e">
        <f>IF(C1850="",NA(),MATCH($B1850&amp;$C1850,'Smelter Look-up'!$J:$J,0))</f>
        <v>#N/A</v>
      </c>
      <c r="W1850" s="271"/>
      <c r="X1850" s="271">
        <f t="shared" ca="1" si="259"/>
        <v>0</v>
      </c>
      <c r="Y1850" s="271"/>
      <c r="Z1850" s="271"/>
      <c r="AB1850" s="273" t="str">
        <f t="shared" si="260"/>
        <v/>
      </c>
    </row>
    <row r="1851" spans="1:28" s="272" customFormat="1" ht="20.399999999999999">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t="shared" ref="X1851" ca="1" si="262">IF(AND(C1851="Smelter not listed",OR(LEN(D1851)=0,LEN(E1851)=0)),1,0)</f>
        <v>0</v>
      </c>
      <c r="Y1851" s="271"/>
      <c r="Z1851" s="271"/>
      <c r="AB1851" s="273" t="str">
        <f t="shared" ref="AB1851" si="263">B1851&amp;C1851</f>
        <v/>
      </c>
    </row>
    <row r="1852" spans="1:28" s="272" customFormat="1" ht="20.399999999999999">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265">IF(AND(C1852="Smelter not listed",OR(LEN(D1852)=0,LEN(E1852)=0)),1,0)</f>
        <v>0</v>
      </c>
      <c r="Y1852" s="271"/>
      <c r="Z1852" s="271"/>
      <c r="AB1852" s="273" t="str">
        <f t="shared" ref="AB1852:AB1883" si="266">B1852&amp;C1852</f>
        <v/>
      </c>
    </row>
    <row r="1853" spans="1:28" s="272" customFormat="1" ht="20.399999999999999">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399999999999999">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399999999999999">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399999999999999">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399999999999999">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399999999999999">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399999999999999">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399999999999999">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399999999999999">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399999999999999">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399999999999999">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399999999999999">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399999999999999">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399999999999999">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399999999999999">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399999999999999">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399999999999999">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399999999999999">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399999999999999">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399999999999999">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399999999999999">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399999999999999">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399999999999999">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399999999999999">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399999999999999">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399999999999999">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399999999999999">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399999999999999">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399999999999999">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399999999999999">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4"/>
        <v/>
      </c>
      <c r="T1882" s="222" t="str">
        <f ca="1">IF(B1882="","",IF(ISERROR(MATCH($J1882,SorP!$B$1:$B$6230,0)),"",INDIRECT("'SorP'!$A$"&amp;MATCH($J1882,SorP!$B$1:$B$6230,0))))</f>
        <v/>
      </c>
      <c r="U1882" s="238"/>
      <c r="V1882" s="270" t="e">
        <f>IF(C1882="",NA(),MATCH($B1882&amp;$C1882,'Smelter Look-up'!$J:$J,0))</f>
        <v>#N/A</v>
      </c>
      <c r="W1882" s="271"/>
      <c r="X1882" s="271">
        <f t="shared" ca="1" si="265"/>
        <v>0</v>
      </c>
      <c r="Y1882" s="271"/>
      <c r="Z1882" s="271"/>
      <c r="AB1882" s="273" t="str">
        <f t="shared" si="266"/>
        <v/>
      </c>
    </row>
    <row r="1883" spans="1:28" s="272" customFormat="1" ht="20.399999999999999">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4"/>
        <v/>
      </c>
      <c r="T1883" s="222" t="str">
        <f ca="1">IF(B1883="","",IF(ISERROR(MATCH($J1883,SorP!$B$1:$B$6230,0)),"",INDIRECT("'SorP'!$A$"&amp;MATCH($J1883,SorP!$B$1:$B$6230,0))))</f>
        <v/>
      </c>
      <c r="U1883" s="238"/>
      <c r="V1883" s="270" t="e">
        <f>IF(C1883="",NA(),MATCH($B1883&amp;$C1883,'Smelter Look-up'!$J:$J,0))</f>
        <v>#N/A</v>
      </c>
      <c r="W1883" s="271"/>
      <c r="X1883" s="271">
        <f t="shared" ca="1" si="265"/>
        <v>0</v>
      </c>
      <c r="Y1883" s="271"/>
      <c r="Z1883" s="271"/>
      <c r="AB1883" s="273" t="str">
        <f t="shared" si="266"/>
        <v/>
      </c>
    </row>
    <row r="1884" spans="1:28" s="272" customFormat="1" ht="20.399999999999999">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268">IF(AND(C1884="Smelter not listed",OR(LEN(D1884)=0,LEN(E1884)=0)),1,0)</f>
        <v>0</v>
      </c>
      <c r="Y1884" s="271"/>
      <c r="Z1884" s="271"/>
      <c r="AB1884" s="273" t="str">
        <f t="shared" ref="AB1884:AB1914" si="269">B1884&amp;C1884</f>
        <v/>
      </c>
    </row>
    <row r="1885" spans="1:28" s="272" customFormat="1" ht="20.399999999999999">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399999999999999">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399999999999999">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399999999999999">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399999999999999">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399999999999999">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399999999999999">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399999999999999">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399999999999999">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399999999999999">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399999999999999">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399999999999999">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399999999999999">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399999999999999">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399999999999999">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399999999999999">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399999999999999">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399999999999999">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399999999999999">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399999999999999">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399999999999999">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399999999999999">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399999999999999">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399999999999999">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399999999999999">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399999999999999">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399999999999999">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399999999999999">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20.399999999999999">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67"/>
        <v/>
      </c>
      <c r="T1913" s="222" t="str">
        <f ca="1">IF(B1913="","",IF(ISERROR(MATCH($J1913,SorP!$B$1:$B$6230,0)),"",INDIRECT("'SorP'!$A$"&amp;MATCH($J1913,SorP!$B$1:$B$6230,0))))</f>
        <v/>
      </c>
      <c r="U1913" s="238"/>
      <c r="V1913" s="270" t="e">
        <f>IF(C1913="",NA(),MATCH($B1913&amp;$C1913,'Smelter Look-up'!$J:$J,0))</f>
        <v>#N/A</v>
      </c>
      <c r="W1913" s="271"/>
      <c r="X1913" s="271">
        <f t="shared" ca="1" si="268"/>
        <v>0</v>
      </c>
      <c r="Y1913" s="271"/>
      <c r="Z1913" s="271"/>
      <c r="AB1913" s="273" t="str">
        <f t="shared" si="269"/>
        <v/>
      </c>
    </row>
    <row r="1914" spans="1:28" s="272" customFormat="1" ht="20.399999999999999">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67"/>
        <v/>
      </c>
      <c r="T1914" s="222" t="str">
        <f ca="1">IF(B1914="","",IF(ISERROR(MATCH($J1914,SorP!$B$1:$B$6230,0)),"",INDIRECT("'SorP'!$A$"&amp;MATCH($J1914,SorP!$B$1:$B$6230,0))))</f>
        <v/>
      </c>
      <c r="U1914" s="238"/>
      <c r="V1914" s="270" t="e">
        <f>IF(C1914="",NA(),MATCH($B1914&amp;$C1914,'Smelter Look-up'!$J:$J,0))</f>
        <v>#N/A</v>
      </c>
      <c r="W1914" s="271"/>
      <c r="X1914" s="271">
        <f t="shared" ca="1" si="268"/>
        <v>0</v>
      </c>
      <c r="Y1914" s="271"/>
      <c r="Z1914" s="271"/>
      <c r="AB1914" s="273" t="str">
        <f t="shared" si="269"/>
        <v/>
      </c>
    </row>
    <row r="1915" spans="1:28" s="272" customFormat="1" ht="20.399999999999999">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t="shared" ref="X1915" ca="1" si="271">IF(AND(C1915="Smelter not listed",OR(LEN(D1915)=0,LEN(E1915)=0)),1,0)</f>
        <v>0</v>
      </c>
      <c r="Y1915" s="271"/>
      <c r="Z1915" s="271"/>
      <c r="AB1915" s="273" t="str">
        <f t="shared" ref="AB1915" si="272">B1915&amp;C1915</f>
        <v/>
      </c>
    </row>
    <row r="1916" spans="1:28" s="272" customFormat="1" ht="20.399999999999999">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274">IF(AND(C1916="Smelter not listed",OR(LEN(D1916)=0,LEN(E1916)=0)),1,0)</f>
        <v>0</v>
      </c>
      <c r="Y1916" s="271"/>
      <c r="Z1916" s="271"/>
      <c r="AB1916" s="273" t="str">
        <f t="shared" ref="AB1916:AB1947" si="275">B1916&amp;C1916</f>
        <v/>
      </c>
    </row>
    <row r="1917" spans="1:28" s="272" customFormat="1" ht="20.399999999999999">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399999999999999">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399999999999999">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399999999999999">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399999999999999">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399999999999999">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399999999999999">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399999999999999">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399999999999999">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399999999999999">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399999999999999">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399999999999999">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399999999999999">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399999999999999">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399999999999999">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399999999999999">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399999999999999">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399999999999999">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399999999999999">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399999999999999">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399999999999999">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399999999999999">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399999999999999">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399999999999999">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399999999999999">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399999999999999">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399999999999999">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399999999999999">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399999999999999">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399999999999999">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3"/>
        <v/>
      </c>
      <c r="T1946" s="222" t="str">
        <f ca="1">IF(B1946="","",IF(ISERROR(MATCH($J1946,SorP!$B$1:$B$6230,0)),"",INDIRECT("'SorP'!$A$"&amp;MATCH($J1946,SorP!$B$1:$B$6230,0))))</f>
        <v/>
      </c>
      <c r="U1946" s="238"/>
      <c r="V1946" s="270" t="e">
        <f>IF(C1946="",NA(),MATCH($B1946&amp;$C1946,'Smelter Look-up'!$J:$J,0))</f>
        <v>#N/A</v>
      </c>
      <c r="W1946" s="271"/>
      <c r="X1946" s="271">
        <f t="shared" ca="1" si="274"/>
        <v>0</v>
      </c>
      <c r="Y1946" s="271"/>
      <c r="Z1946" s="271"/>
      <c r="AB1946" s="273" t="str">
        <f t="shared" si="275"/>
        <v/>
      </c>
    </row>
    <row r="1947" spans="1:28" s="272" customFormat="1" ht="20.399999999999999">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3"/>
        <v/>
      </c>
      <c r="T1947" s="222" t="str">
        <f ca="1">IF(B1947="","",IF(ISERROR(MATCH($J1947,SorP!$B$1:$B$6230,0)),"",INDIRECT("'SorP'!$A$"&amp;MATCH($J1947,SorP!$B$1:$B$6230,0))))</f>
        <v/>
      </c>
      <c r="U1947" s="238"/>
      <c r="V1947" s="270" t="e">
        <f>IF(C1947="",NA(),MATCH($B1947&amp;$C1947,'Smelter Look-up'!$J:$J,0))</f>
        <v>#N/A</v>
      </c>
      <c r="W1947" s="271"/>
      <c r="X1947" s="271">
        <f t="shared" ca="1" si="274"/>
        <v>0</v>
      </c>
      <c r="Y1947" s="271"/>
      <c r="Z1947" s="271"/>
      <c r="AB1947" s="273" t="str">
        <f t="shared" si="275"/>
        <v/>
      </c>
    </row>
    <row r="1948" spans="1:28" s="272" customFormat="1" ht="20.399999999999999">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277">IF(AND(C1948="Smelter not listed",OR(LEN(D1948)=0,LEN(E1948)=0)),1,0)</f>
        <v>0</v>
      </c>
      <c r="Y1948" s="271"/>
      <c r="Z1948" s="271"/>
      <c r="AB1948" s="273" t="str">
        <f t="shared" ref="AB1948:AB1978" si="278">B1948&amp;C1948</f>
        <v/>
      </c>
    </row>
    <row r="1949" spans="1:28" s="272" customFormat="1" ht="20.399999999999999">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399999999999999">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399999999999999">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399999999999999">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399999999999999">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399999999999999">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399999999999999">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399999999999999">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399999999999999">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399999999999999">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399999999999999">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399999999999999">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399999999999999">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399999999999999">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399999999999999">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399999999999999">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399999999999999">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399999999999999">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399999999999999">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399999999999999">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399999999999999">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399999999999999">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399999999999999">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399999999999999">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399999999999999">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399999999999999">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399999999999999">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399999999999999">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20.399999999999999">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6"/>
        <v/>
      </c>
      <c r="T1977" s="222" t="str">
        <f ca="1">IF(B1977="","",IF(ISERROR(MATCH($J1977,SorP!$B$1:$B$6230,0)),"",INDIRECT("'SorP'!$A$"&amp;MATCH($J1977,SorP!$B$1:$B$6230,0))))</f>
        <v/>
      </c>
      <c r="U1977" s="238"/>
      <c r="V1977" s="270" t="e">
        <f>IF(C1977="",NA(),MATCH($B1977&amp;$C1977,'Smelter Look-up'!$J:$J,0))</f>
        <v>#N/A</v>
      </c>
      <c r="W1977" s="271"/>
      <c r="X1977" s="271">
        <f t="shared" ca="1" si="277"/>
        <v>0</v>
      </c>
      <c r="Y1977" s="271"/>
      <c r="Z1977" s="271"/>
      <c r="AB1977" s="273" t="str">
        <f t="shared" si="278"/>
        <v/>
      </c>
    </row>
    <row r="1978" spans="1:28" s="272" customFormat="1" ht="20.399999999999999">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76"/>
        <v/>
      </c>
      <c r="T1978" s="222" t="str">
        <f ca="1">IF(B1978="","",IF(ISERROR(MATCH($J1978,SorP!$B$1:$B$6230,0)),"",INDIRECT("'SorP'!$A$"&amp;MATCH($J1978,SorP!$B$1:$B$6230,0))))</f>
        <v/>
      </c>
      <c r="U1978" s="238"/>
      <c r="V1978" s="270" t="e">
        <f>IF(C1978="",NA(),MATCH($B1978&amp;$C1978,'Smelter Look-up'!$J:$J,0))</f>
        <v>#N/A</v>
      </c>
      <c r="W1978" s="271"/>
      <c r="X1978" s="271">
        <f t="shared" ca="1" si="277"/>
        <v>0</v>
      </c>
      <c r="Y1978" s="271"/>
      <c r="Z1978" s="271"/>
      <c r="AB1978" s="273" t="str">
        <f t="shared" si="278"/>
        <v/>
      </c>
    </row>
    <row r="1979" spans="1:28" s="272" customFormat="1" ht="20.399999999999999">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t="shared" ref="X1979" ca="1" si="280">IF(AND(C1979="Smelter not listed",OR(LEN(D1979)=0,LEN(E1979)=0)),1,0)</f>
        <v>0</v>
      </c>
      <c r="Y1979" s="271"/>
      <c r="Z1979" s="271"/>
      <c r="AB1979" s="273" t="str">
        <f t="shared" ref="AB1979" si="281">B1979&amp;C1979</f>
        <v/>
      </c>
    </row>
    <row r="1980" spans="1:28" s="272" customFormat="1" ht="20.399999999999999">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283">IF(AND(C1980="Smelter not listed",OR(LEN(D1980)=0,LEN(E1980)=0)),1,0)</f>
        <v>0</v>
      </c>
      <c r="Y1980" s="271"/>
      <c r="Z1980" s="271"/>
      <c r="AB1980" s="273" t="str">
        <f t="shared" ref="AB1980:AB2011" si="284">B1980&amp;C1980</f>
        <v/>
      </c>
    </row>
    <row r="1981" spans="1:28" s="272" customFormat="1" ht="20.399999999999999">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399999999999999">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399999999999999">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399999999999999">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399999999999999">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399999999999999">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399999999999999">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399999999999999">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399999999999999">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399999999999999">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399999999999999">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399999999999999">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399999999999999">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399999999999999">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399999999999999">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399999999999999">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399999999999999">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399999999999999">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399999999999999">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399999999999999">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399999999999999">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399999999999999">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399999999999999">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399999999999999">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399999999999999">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399999999999999">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399999999999999">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399999999999999">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399999999999999">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399999999999999">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2"/>
        <v/>
      </c>
      <c r="T2010" s="222" t="str">
        <f ca="1">IF(B2010="","",IF(ISERROR(MATCH($J2010,SorP!$B$1:$B$6230,0)),"",INDIRECT("'SorP'!$A$"&amp;MATCH($J2010,SorP!$B$1:$B$6230,0))))</f>
        <v/>
      </c>
      <c r="U2010" s="238"/>
      <c r="V2010" s="270" t="e">
        <f>IF(C2010="",NA(),MATCH($B2010&amp;$C2010,'Smelter Look-up'!$J:$J,0))</f>
        <v>#N/A</v>
      </c>
      <c r="W2010" s="271"/>
      <c r="X2010" s="271">
        <f t="shared" ca="1" si="283"/>
        <v>0</v>
      </c>
      <c r="Y2010" s="271"/>
      <c r="Z2010" s="271"/>
      <c r="AB2010" s="273" t="str">
        <f t="shared" si="284"/>
        <v/>
      </c>
    </row>
    <row r="2011" spans="1:28" s="272" customFormat="1" ht="20.399999999999999">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2"/>
        <v/>
      </c>
      <c r="T2011" s="222" t="str">
        <f ca="1">IF(B2011="","",IF(ISERROR(MATCH($J2011,SorP!$B$1:$B$6230,0)),"",INDIRECT("'SorP'!$A$"&amp;MATCH($J2011,SorP!$B$1:$B$6230,0))))</f>
        <v/>
      </c>
      <c r="U2011" s="238"/>
      <c r="V2011" s="270" t="e">
        <f>IF(C2011="",NA(),MATCH($B2011&amp;$C2011,'Smelter Look-up'!$J:$J,0))</f>
        <v>#N/A</v>
      </c>
      <c r="W2011" s="271"/>
      <c r="X2011" s="271">
        <f t="shared" ca="1" si="283"/>
        <v>0</v>
      </c>
      <c r="Y2011" s="271"/>
      <c r="Z2011" s="271"/>
      <c r="AB2011" s="273" t="str">
        <f t="shared" si="284"/>
        <v/>
      </c>
    </row>
    <row r="2012" spans="1:28" s="272" customFormat="1" ht="20.399999999999999">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286">IF(AND(C2012="Smelter not listed",OR(LEN(D2012)=0,LEN(E2012)=0)),1,0)</f>
        <v>0</v>
      </c>
      <c r="Y2012" s="271"/>
      <c r="Z2012" s="271"/>
      <c r="AB2012" s="273" t="str">
        <f t="shared" ref="AB2012:AB2042" si="287">B2012&amp;C2012</f>
        <v/>
      </c>
    </row>
    <row r="2013" spans="1:28" s="272" customFormat="1" ht="20.399999999999999">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399999999999999">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399999999999999">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399999999999999">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399999999999999">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399999999999999">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399999999999999">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399999999999999">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399999999999999">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399999999999999">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399999999999999">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399999999999999">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399999999999999">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399999999999999">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399999999999999">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399999999999999">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399999999999999">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399999999999999">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399999999999999">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399999999999999">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399999999999999">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399999999999999">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399999999999999">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399999999999999">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399999999999999">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399999999999999">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399999999999999">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399999999999999">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20.399999999999999">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5"/>
        <v/>
      </c>
      <c r="T2041" s="222" t="str">
        <f ca="1">IF(B2041="","",IF(ISERROR(MATCH($J2041,SorP!$B$1:$B$6230,0)),"",INDIRECT("'SorP'!$A$"&amp;MATCH($J2041,SorP!$B$1:$B$6230,0))))</f>
        <v/>
      </c>
      <c r="U2041" s="238"/>
      <c r="V2041" s="270" t="e">
        <f>IF(C2041="",NA(),MATCH($B2041&amp;$C2041,'Smelter Look-up'!$J:$J,0))</f>
        <v>#N/A</v>
      </c>
      <c r="W2041" s="271"/>
      <c r="X2041" s="271">
        <f t="shared" ca="1" si="286"/>
        <v>0</v>
      </c>
      <c r="Y2041" s="271"/>
      <c r="Z2041" s="271"/>
      <c r="AB2041" s="273" t="str">
        <f t="shared" si="287"/>
        <v/>
      </c>
    </row>
    <row r="2042" spans="1:28" s="272" customFormat="1" ht="20.399999999999999">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85"/>
        <v/>
      </c>
      <c r="T2042" s="222" t="str">
        <f ca="1">IF(B2042="","",IF(ISERROR(MATCH($J2042,SorP!$B$1:$B$6230,0)),"",INDIRECT("'SorP'!$A$"&amp;MATCH($J2042,SorP!$B$1:$B$6230,0))))</f>
        <v/>
      </c>
      <c r="U2042" s="238"/>
      <c r="V2042" s="270" t="e">
        <f>IF(C2042="",NA(),MATCH($B2042&amp;$C2042,'Smelter Look-up'!$J:$J,0))</f>
        <v>#N/A</v>
      </c>
      <c r="W2042" s="271"/>
      <c r="X2042" s="271">
        <f t="shared" ca="1" si="286"/>
        <v>0</v>
      </c>
      <c r="Y2042" s="271"/>
      <c r="Z2042" s="271"/>
      <c r="AB2042" s="273" t="str">
        <f t="shared" si="287"/>
        <v/>
      </c>
    </row>
    <row r="2043" spans="1:28" s="272" customFormat="1" ht="20.399999999999999">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t="shared" ref="X2043" ca="1" si="289">IF(AND(C2043="Smelter not listed",OR(LEN(D2043)=0,LEN(E2043)=0)),1,0)</f>
        <v>0</v>
      </c>
      <c r="Y2043" s="271"/>
      <c r="Z2043" s="271"/>
      <c r="AB2043" s="273" t="str">
        <f t="shared" ref="AB2043" si="290">B2043&amp;C2043</f>
        <v/>
      </c>
    </row>
    <row r="2044" spans="1:28" s="272" customFormat="1" ht="20.399999999999999">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292">IF(AND(C2044="Smelter not listed",OR(LEN(D2044)=0,LEN(E2044)=0)),1,0)</f>
        <v>0</v>
      </c>
      <c r="Y2044" s="271"/>
      <c r="Z2044" s="271"/>
      <c r="AB2044" s="273" t="str">
        <f t="shared" ref="AB2044:AB2075" si="293">B2044&amp;C2044</f>
        <v/>
      </c>
    </row>
    <row r="2045" spans="1:28" s="272" customFormat="1" ht="20.399999999999999">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399999999999999">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399999999999999">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399999999999999">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399999999999999">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399999999999999">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399999999999999">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399999999999999">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399999999999999">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399999999999999">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399999999999999">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399999999999999">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399999999999999">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399999999999999">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399999999999999">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399999999999999">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399999999999999">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399999999999999">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399999999999999">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399999999999999">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399999999999999">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399999999999999">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399999999999999">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399999999999999">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399999999999999">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399999999999999">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399999999999999">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399999999999999">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399999999999999">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399999999999999">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1"/>
        <v/>
      </c>
      <c r="T2074" s="222" t="str">
        <f ca="1">IF(B2074="","",IF(ISERROR(MATCH($J2074,SorP!$B$1:$B$6230,0)),"",INDIRECT("'SorP'!$A$"&amp;MATCH($J2074,SorP!$B$1:$B$6230,0))))</f>
        <v/>
      </c>
      <c r="U2074" s="238"/>
      <c r="V2074" s="270" t="e">
        <f>IF(C2074="",NA(),MATCH($B2074&amp;$C2074,'Smelter Look-up'!$J:$J,0))</f>
        <v>#N/A</v>
      </c>
      <c r="W2074" s="271"/>
      <c r="X2074" s="271">
        <f t="shared" ca="1" si="292"/>
        <v>0</v>
      </c>
      <c r="Y2074" s="271"/>
      <c r="Z2074" s="271"/>
      <c r="AB2074" s="273" t="str">
        <f t="shared" si="293"/>
        <v/>
      </c>
    </row>
    <row r="2075" spans="1:28" s="272" customFormat="1" ht="20.399999999999999">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1"/>
        <v/>
      </c>
      <c r="T2075" s="222" t="str">
        <f ca="1">IF(B2075="","",IF(ISERROR(MATCH($J2075,SorP!$B$1:$B$6230,0)),"",INDIRECT("'SorP'!$A$"&amp;MATCH($J2075,SorP!$B$1:$B$6230,0))))</f>
        <v/>
      </c>
      <c r="U2075" s="238"/>
      <c r="V2075" s="270" t="e">
        <f>IF(C2075="",NA(),MATCH($B2075&amp;$C2075,'Smelter Look-up'!$J:$J,0))</f>
        <v>#N/A</v>
      </c>
      <c r="W2075" s="271"/>
      <c r="X2075" s="271">
        <f t="shared" ca="1" si="292"/>
        <v>0</v>
      </c>
      <c r="Y2075" s="271"/>
      <c r="Z2075" s="271"/>
      <c r="AB2075" s="273" t="str">
        <f t="shared" si="293"/>
        <v/>
      </c>
    </row>
    <row r="2076" spans="1:28" s="272" customFormat="1" ht="20.399999999999999">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295">IF(AND(C2076="Smelter not listed",OR(LEN(D2076)=0,LEN(E2076)=0)),1,0)</f>
        <v>0</v>
      </c>
      <c r="Y2076" s="271"/>
      <c r="Z2076" s="271"/>
      <c r="AB2076" s="273" t="str">
        <f t="shared" ref="AB2076:AB2106" si="296">B2076&amp;C2076</f>
        <v/>
      </c>
    </row>
    <row r="2077" spans="1:28" s="272" customFormat="1" ht="20.399999999999999">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399999999999999">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399999999999999">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399999999999999">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399999999999999">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399999999999999">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399999999999999">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399999999999999">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399999999999999">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399999999999999">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399999999999999">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399999999999999">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399999999999999">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399999999999999">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399999999999999">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399999999999999">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399999999999999">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399999999999999">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399999999999999">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399999999999999">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399999999999999">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399999999999999">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399999999999999">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399999999999999">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399999999999999">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399999999999999">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399999999999999">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399999999999999">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20.399999999999999">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4"/>
        <v/>
      </c>
      <c r="T2105" s="222" t="str">
        <f ca="1">IF(B2105="","",IF(ISERROR(MATCH($J2105,SorP!$B$1:$B$6230,0)),"",INDIRECT("'SorP'!$A$"&amp;MATCH($J2105,SorP!$B$1:$B$6230,0))))</f>
        <v/>
      </c>
      <c r="U2105" s="238"/>
      <c r="V2105" s="270" t="e">
        <f>IF(C2105="",NA(),MATCH($B2105&amp;$C2105,'Smelter Look-up'!$J:$J,0))</f>
        <v>#N/A</v>
      </c>
      <c r="W2105" s="271"/>
      <c r="X2105" s="271">
        <f t="shared" ca="1" si="295"/>
        <v>0</v>
      </c>
      <c r="Y2105" s="271"/>
      <c r="Z2105" s="271"/>
      <c r="AB2105" s="273" t="str">
        <f t="shared" si="296"/>
        <v/>
      </c>
    </row>
    <row r="2106" spans="1:28" s="272" customFormat="1" ht="20.399999999999999">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94"/>
        <v/>
      </c>
      <c r="T2106" s="222" t="str">
        <f ca="1">IF(B2106="","",IF(ISERROR(MATCH($J2106,SorP!$B$1:$B$6230,0)),"",INDIRECT("'SorP'!$A$"&amp;MATCH($J2106,SorP!$B$1:$B$6230,0))))</f>
        <v/>
      </c>
      <c r="U2106" s="238"/>
      <c r="V2106" s="270" t="e">
        <f>IF(C2106="",NA(),MATCH($B2106&amp;$C2106,'Smelter Look-up'!$J:$J,0))</f>
        <v>#N/A</v>
      </c>
      <c r="W2106" s="271"/>
      <c r="X2106" s="271">
        <f t="shared" ca="1" si="295"/>
        <v>0</v>
      </c>
      <c r="Y2106" s="271"/>
      <c r="Z2106" s="271"/>
      <c r="AB2106" s="273" t="str">
        <f t="shared" si="296"/>
        <v/>
      </c>
    </row>
    <row r="2107" spans="1:28" s="272" customFormat="1" ht="20.399999999999999">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t="shared" ref="X2107" ca="1" si="298">IF(AND(C2107="Smelter not listed",OR(LEN(D2107)=0,LEN(E2107)=0)),1,0)</f>
        <v>0</v>
      </c>
      <c r="Y2107" s="271"/>
      <c r="Z2107" s="271"/>
      <c r="AB2107" s="273" t="str">
        <f t="shared" ref="AB2107" si="299">B2107&amp;C2107</f>
        <v/>
      </c>
    </row>
    <row r="2108" spans="1:28" s="272" customFormat="1" ht="20.399999999999999">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301">IF(AND(C2108="Smelter not listed",OR(LEN(D2108)=0,LEN(E2108)=0)),1,0)</f>
        <v>0</v>
      </c>
      <c r="Y2108" s="271"/>
      <c r="Z2108" s="271"/>
      <c r="AB2108" s="273" t="str">
        <f t="shared" ref="AB2108:AB2139" si="302">B2108&amp;C2108</f>
        <v/>
      </c>
    </row>
    <row r="2109" spans="1:28" s="272" customFormat="1" ht="20.399999999999999">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399999999999999">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399999999999999">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399999999999999">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399999999999999">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399999999999999">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399999999999999">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399999999999999">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399999999999999">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399999999999999">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399999999999999">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399999999999999">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399999999999999">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399999999999999">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399999999999999">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399999999999999">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399999999999999">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399999999999999">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399999999999999">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399999999999999">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399999999999999">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399999999999999">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399999999999999">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399999999999999">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399999999999999">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399999999999999">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399999999999999">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399999999999999">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399999999999999">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399999999999999">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0"/>
        <v/>
      </c>
      <c r="T2138" s="222" t="str">
        <f ca="1">IF(B2138="","",IF(ISERROR(MATCH($J2138,SorP!$B$1:$B$6230,0)),"",INDIRECT("'SorP'!$A$"&amp;MATCH($J2138,SorP!$B$1:$B$6230,0))))</f>
        <v/>
      </c>
      <c r="U2138" s="238"/>
      <c r="V2138" s="270" t="e">
        <f>IF(C2138="",NA(),MATCH($B2138&amp;$C2138,'Smelter Look-up'!$J:$J,0))</f>
        <v>#N/A</v>
      </c>
      <c r="W2138" s="271"/>
      <c r="X2138" s="271">
        <f t="shared" ca="1" si="301"/>
        <v>0</v>
      </c>
      <c r="Y2138" s="271"/>
      <c r="Z2138" s="271"/>
      <c r="AB2138" s="273" t="str">
        <f t="shared" si="302"/>
        <v/>
      </c>
    </row>
    <row r="2139" spans="1:28" s="272" customFormat="1" ht="20.399999999999999">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0"/>
        <v/>
      </c>
      <c r="T2139" s="222" t="str">
        <f ca="1">IF(B2139="","",IF(ISERROR(MATCH($J2139,SorP!$B$1:$B$6230,0)),"",INDIRECT("'SorP'!$A$"&amp;MATCH($J2139,SorP!$B$1:$B$6230,0))))</f>
        <v/>
      </c>
      <c r="U2139" s="238"/>
      <c r="V2139" s="270" t="e">
        <f>IF(C2139="",NA(),MATCH($B2139&amp;$C2139,'Smelter Look-up'!$J:$J,0))</f>
        <v>#N/A</v>
      </c>
      <c r="W2139" s="271"/>
      <c r="X2139" s="271">
        <f t="shared" ca="1" si="301"/>
        <v>0</v>
      </c>
      <c r="Y2139" s="271"/>
      <c r="Z2139" s="271"/>
      <c r="AB2139" s="273" t="str">
        <f t="shared" si="302"/>
        <v/>
      </c>
    </row>
    <row r="2140" spans="1:28" s="272" customFormat="1" ht="20.399999999999999">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304">IF(AND(C2140="Smelter not listed",OR(LEN(D2140)=0,LEN(E2140)=0)),1,0)</f>
        <v>0</v>
      </c>
      <c r="Y2140" s="271"/>
      <c r="Z2140" s="271"/>
      <c r="AB2140" s="273" t="str">
        <f t="shared" ref="AB2140:AB2170" si="305">B2140&amp;C2140</f>
        <v/>
      </c>
    </row>
    <row r="2141" spans="1:28" s="272" customFormat="1" ht="20.399999999999999">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399999999999999">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399999999999999">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399999999999999">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399999999999999">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399999999999999">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399999999999999">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399999999999999">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399999999999999">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399999999999999">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399999999999999">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399999999999999">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399999999999999">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399999999999999">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399999999999999">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399999999999999">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399999999999999">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399999999999999">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399999999999999">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399999999999999">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399999999999999">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399999999999999">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399999999999999">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399999999999999">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399999999999999">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399999999999999">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399999999999999">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399999999999999">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20.399999999999999">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3"/>
        <v/>
      </c>
      <c r="T2169" s="222" t="str">
        <f ca="1">IF(B2169="","",IF(ISERROR(MATCH($J2169,SorP!$B$1:$B$6230,0)),"",INDIRECT("'SorP'!$A$"&amp;MATCH($J2169,SorP!$B$1:$B$6230,0))))</f>
        <v/>
      </c>
      <c r="U2169" s="238"/>
      <c r="V2169" s="270" t="e">
        <f>IF(C2169="",NA(),MATCH($B2169&amp;$C2169,'Smelter Look-up'!$J:$J,0))</f>
        <v>#N/A</v>
      </c>
      <c r="W2169" s="271"/>
      <c r="X2169" s="271">
        <f t="shared" ca="1" si="304"/>
        <v>0</v>
      </c>
      <c r="Y2169" s="271"/>
      <c r="Z2169" s="271"/>
      <c r="AB2169" s="273" t="str">
        <f t="shared" si="305"/>
        <v/>
      </c>
    </row>
    <row r="2170" spans="1:28" s="272" customFormat="1" ht="20.399999999999999">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3"/>
        <v/>
      </c>
      <c r="T2170" s="222" t="str">
        <f ca="1">IF(B2170="","",IF(ISERROR(MATCH($J2170,SorP!$B$1:$B$6230,0)),"",INDIRECT("'SorP'!$A$"&amp;MATCH($J2170,SorP!$B$1:$B$6230,0))))</f>
        <v/>
      </c>
      <c r="U2170" s="238"/>
      <c r="V2170" s="270" t="e">
        <f>IF(C2170="",NA(),MATCH($B2170&amp;$C2170,'Smelter Look-up'!$J:$J,0))</f>
        <v>#N/A</v>
      </c>
      <c r="W2170" s="271"/>
      <c r="X2170" s="271">
        <f t="shared" ca="1" si="304"/>
        <v>0</v>
      </c>
      <c r="Y2170" s="271"/>
      <c r="Z2170" s="271"/>
      <c r="AB2170" s="273" t="str">
        <f t="shared" si="305"/>
        <v/>
      </c>
    </row>
    <row r="2171" spans="1:28" s="272" customFormat="1" ht="20.399999999999999">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t="shared" ref="X2171" ca="1" si="307">IF(AND(C2171="Smelter not listed",OR(LEN(D2171)=0,LEN(E2171)=0)),1,0)</f>
        <v>0</v>
      </c>
      <c r="Y2171" s="271"/>
      <c r="Z2171" s="271"/>
      <c r="AB2171" s="273" t="str">
        <f t="shared" ref="AB2171" si="308">B2171&amp;C2171</f>
        <v/>
      </c>
    </row>
    <row r="2172" spans="1:28" s="272" customFormat="1" ht="20.399999999999999">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310">IF(AND(C2172="Smelter not listed",OR(LEN(D2172)=0,LEN(E2172)=0)),1,0)</f>
        <v>0</v>
      </c>
      <c r="Y2172" s="271"/>
      <c r="Z2172" s="271"/>
      <c r="AB2172" s="273" t="str">
        <f t="shared" ref="AB2172:AB2203" si="311">B2172&amp;C2172</f>
        <v/>
      </c>
    </row>
    <row r="2173" spans="1:28" s="272" customFormat="1" ht="20.399999999999999">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399999999999999">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399999999999999">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399999999999999">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399999999999999">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399999999999999">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399999999999999">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399999999999999">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399999999999999">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399999999999999">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399999999999999">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399999999999999">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399999999999999">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399999999999999">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399999999999999">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399999999999999">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399999999999999">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399999999999999">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399999999999999">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399999999999999">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399999999999999">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399999999999999">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399999999999999">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399999999999999">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399999999999999">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399999999999999">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399999999999999">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399999999999999">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399999999999999">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399999999999999">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09"/>
        <v/>
      </c>
      <c r="T2202" s="222" t="str">
        <f ca="1">IF(B2202="","",IF(ISERROR(MATCH($J2202,SorP!$B$1:$B$6230,0)),"",INDIRECT("'SorP'!$A$"&amp;MATCH($J2202,SorP!$B$1:$B$6230,0))))</f>
        <v/>
      </c>
      <c r="U2202" s="238"/>
      <c r="V2202" s="270" t="e">
        <f>IF(C2202="",NA(),MATCH($B2202&amp;$C2202,'Smelter Look-up'!$J:$J,0))</f>
        <v>#N/A</v>
      </c>
      <c r="W2202" s="271"/>
      <c r="X2202" s="271">
        <f t="shared" ca="1" si="310"/>
        <v>0</v>
      </c>
      <c r="Y2202" s="271"/>
      <c r="Z2202" s="271"/>
      <c r="AB2202" s="273" t="str">
        <f t="shared" si="311"/>
        <v/>
      </c>
    </row>
    <row r="2203" spans="1:28" s="272" customFormat="1" ht="20.399999999999999">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09"/>
        <v/>
      </c>
      <c r="T2203" s="222" t="str">
        <f ca="1">IF(B2203="","",IF(ISERROR(MATCH($J2203,SorP!$B$1:$B$6230,0)),"",INDIRECT("'SorP'!$A$"&amp;MATCH($J2203,SorP!$B$1:$B$6230,0))))</f>
        <v/>
      </c>
      <c r="U2203" s="238"/>
      <c r="V2203" s="270" t="e">
        <f>IF(C2203="",NA(),MATCH($B2203&amp;$C2203,'Smelter Look-up'!$J:$J,0))</f>
        <v>#N/A</v>
      </c>
      <c r="W2203" s="271"/>
      <c r="X2203" s="271">
        <f t="shared" ca="1" si="310"/>
        <v>0</v>
      </c>
      <c r="Y2203" s="271"/>
      <c r="Z2203" s="271"/>
      <c r="AB2203" s="273" t="str">
        <f t="shared" si="311"/>
        <v/>
      </c>
    </row>
    <row r="2204" spans="1:28" s="272" customFormat="1" ht="20.399999999999999">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313">IF(AND(C2204="Smelter not listed",OR(LEN(D2204)=0,LEN(E2204)=0)),1,0)</f>
        <v>0</v>
      </c>
      <c r="Y2204" s="271"/>
      <c r="Z2204" s="271"/>
      <c r="AB2204" s="273" t="str">
        <f t="shared" ref="AB2204:AB2234" si="314">B2204&amp;C2204</f>
        <v/>
      </c>
    </row>
    <row r="2205" spans="1:28" s="272" customFormat="1" ht="20.399999999999999">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399999999999999">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399999999999999">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399999999999999">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399999999999999">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399999999999999">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399999999999999">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399999999999999">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399999999999999">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399999999999999">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399999999999999">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399999999999999">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399999999999999">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399999999999999">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399999999999999">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399999999999999">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399999999999999">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399999999999999">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399999999999999">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399999999999999">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399999999999999">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399999999999999">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399999999999999">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399999999999999">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399999999999999">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399999999999999">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399999999999999">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399999999999999">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20.399999999999999">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2"/>
        <v/>
      </c>
      <c r="T2233" s="222" t="str">
        <f ca="1">IF(B2233="","",IF(ISERROR(MATCH($J2233,SorP!$B$1:$B$6230,0)),"",INDIRECT("'SorP'!$A$"&amp;MATCH($J2233,SorP!$B$1:$B$6230,0))))</f>
        <v/>
      </c>
      <c r="U2233" s="238"/>
      <c r="V2233" s="270" t="e">
        <f>IF(C2233="",NA(),MATCH($B2233&amp;$C2233,'Smelter Look-up'!$J:$J,0))</f>
        <v>#N/A</v>
      </c>
      <c r="W2233" s="271"/>
      <c r="X2233" s="271">
        <f t="shared" ca="1" si="313"/>
        <v>0</v>
      </c>
      <c r="Y2233" s="271"/>
      <c r="Z2233" s="271"/>
      <c r="AB2233" s="273" t="str">
        <f t="shared" si="314"/>
        <v/>
      </c>
    </row>
    <row r="2234" spans="1:28" s="272" customFormat="1" ht="20.399999999999999">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2"/>
        <v/>
      </c>
      <c r="T2234" s="222" t="str">
        <f ca="1">IF(B2234="","",IF(ISERROR(MATCH($J2234,SorP!$B$1:$B$6230,0)),"",INDIRECT("'SorP'!$A$"&amp;MATCH($J2234,SorP!$B$1:$B$6230,0))))</f>
        <v/>
      </c>
      <c r="U2234" s="238"/>
      <c r="V2234" s="270" t="e">
        <f>IF(C2234="",NA(),MATCH($B2234&amp;$C2234,'Smelter Look-up'!$J:$J,0))</f>
        <v>#N/A</v>
      </c>
      <c r="W2234" s="271"/>
      <c r="X2234" s="271">
        <f t="shared" ca="1" si="313"/>
        <v>0</v>
      </c>
      <c r="Y2234" s="271"/>
      <c r="Z2234" s="271"/>
      <c r="AB2234" s="273" t="str">
        <f t="shared" si="314"/>
        <v/>
      </c>
    </row>
    <row r="2235" spans="1:28" s="272" customFormat="1" ht="20.399999999999999">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t="shared" ref="X2235" ca="1" si="316">IF(AND(C2235="Smelter not listed",OR(LEN(D2235)=0,LEN(E2235)=0)),1,0)</f>
        <v>0</v>
      </c>
      <c r="Y2235" s="271"/>
      <c r="Z2235" s="271"/>
      <c r="AB2235" s="273" t="str">
        <f t="shared" ref="AB2235" si="317">B2235&amp;C2235</f>
        <v/>
      </c>
    </row>
    <row r="2236" spans="1:28" s="272" customFormat="1" ht="20.399999999999999">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319">IF(AND(C2236="Smelter not listed",OR(LEN(D2236)=0,LEN(E2236)=0)),1,0)</f>
        <v>0</v>
      </c>
      <c r="Y2236" s="271"/>
      <c r="Z2236" s="271"/>
      <c r="AB2236" s="273" t="str">
        <f t="shared" ref="AB2236:AB2267" si="320">B2236&amp;C2236</f>
        <v/>
      </c>
    </row>
    <row r="2237" spans="1:28" s="272" customFormat="1" ht="20.399999999999999">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399999999999999">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399999999999999">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399999999999999">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399999999999999">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399999999999999">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399999999999999">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399999999999999">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399999999999999">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399999999999999">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399999999999999">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399999999999999">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399999999999999">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399999999999999">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399999999999999">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399999999999999">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399999999999999">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399999999999999">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399999999999999">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399999999999999">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399999999999999">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399999999999999">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399999999999999">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399999999999999">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399999999999999">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399999999999999">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399999999999999">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399999999999999">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399999999999999">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399999999999999">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18"/>
        <v/>
      </c>
      <c r="T2266" s="222" t="str">
        <f ca="1">IF(B2266="","",IF(ISERROR(MATCH($J2266,SorP!$B$1:$B$6230,0)),"",INDIRECT("'SorP'!$A$"&amp;MATCH($J2266,SorP!$B$1:$B$6230,0))))</f>
        <v/>
      </c>
      <c r="U2266" s="238"/>
      <c r="V2266" s="270" t="e">
        <f>IF(C2266="",NA(),MATCH($B2266&amp;$C2266,'Smelter Look-up'!$J:$J,0))</f>
        <v>#N/A</v>
      </c>
      <c r="W2266" s="271"/>
      <c r="X2266" s="271">
        <f t="shared" ca="1" si="319"/>
        <v>0</v>
      </c>
      <c r="Y2266" s="271"/>
      <c r="Z2266" s="271"/>
      <c r="AB2266" s="273" t="str">
        <f t="shared" si="320"/>
        <v/>
      </c>
    </row>
    <row r="2267" spans="1:28" s="272" customFormat="1" ht="20.399999999999999">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18"/>
        <v/>
      </c>
      <c r="T2267" s="222" t="str">
        <f ca="1">IF(B2267="","",IF(ISERROR(MATCH($J2267,SorP!$B$1:$B$6230,0)),"",INDIRECT("'SorP'!$A$"&amp;MATCH($J2267,SorP!$B$1:$B$6230,0))))</f>
        <v/>
      </c>
      <c r="U2267" s="238"/>
      <c r="V2267" s="270" t="e">
        <f>IF(C2267="",NA(),MATCH($B2267&amp;$C2267,'Smelter Look-up'!$J:$J,0))</f>
        <v>#N/A</v>
      </c>
      <c r="W2267" s="271"/>
      <c r="X2267" s="271">
        <f t="shared" ca="1" si="319"/>
        <v>0</v>
      </c>
      <c r="Y2267" s="271"/>
      <c r="Z2267" s="271"/>
      <c r="AB2267" s="273" t="str">
        <f t="shared" si="320"/>
        <v/>
      </c>
    </row>
    <row r="2268" spans="1:28" s="272" customFormat="1" ht="20.399999999999999">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322">IF(AND(C2268="Smelter not listed",OR(LEN(D2268)=0,LEN(E2268)=0)),1,0)</f>
        <v>0</v>
      </c>
      <c r="Y2268" s="271"/>
      <c r="Z2268" s="271"/>
      <c r="AB2268" s="273" t="str">
        <f t="shared" ref="AB2268:AB2298" si="323">B2268&amp;C2268</f>
        <v/>
      </c>
    </row>
    <row r="2269" spans="1:28" s="272" customFormat="1" ht="20.399999999999999">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399999999999999">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399999999999999">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399999999999999">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399999999999999">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399999999999999">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399999999999999">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399999999999999">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399999999999999">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399999999999999">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399999999999999">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399999999999999">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399999999999999">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399999999999999">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399999999999999">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399999999999999">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399999999999999">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399999999999999">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399999999999999">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399999999999999">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399999999999999">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399999999999999">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399999999999999">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399999999999999">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399999999999999">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399999999999999">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399999999999999">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399999999999999">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20.399999999999999">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1"/>
        <v/>
      </c>
      <c r="T2297" s="222" t="str">
        <f ca="1">IF(B2297="","",IF(ISERROR(MATCH($J2297,SorP!$B$1:$B$6230,0)),"",INDIRECT("'SorP'!$A$"&amp;MATCH($J2297,SorP!$B$1:$B$6230,0))))</f>
        <v/>
      </c>
      <c r="U2297" s="238"/>
      <c r="V2297" s="270" t="e">
        <f>IF(C2297="",NA(),MATCH($B2297&amp;$C2297,'Smelter Look-up'!$J:$J,0))</f>
        <v>#N/A</v>
      </c>
      <c r="W2297" s="271"/>
      <c r="X2297" s="271">
        <f t="shared" ca="1" si="322"/>
        <v>0</v>
      </c>
      <c r="Y2297" s="271"/>
      <c r="Z2297" s="271"/>
      <c r="AB2297" s="273" t="str">
        <f t="shared" si="323"/>
        <v/>
      </c>
    </row>
    <row r="2298" spans="1:28" s="272" customFormat="1" ht="20.399999999999999">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1"/>
        <v/>
      </c>
      <c r="T2298" s="222" t="str">
        <f ca="1">IF(B2298="","",IF(ISERROR(MATCH($J2298,SorP!$B$1:$B$6230,0)),"",INDIRECT("'SorP'!$A$"&amp;MATCH($J2298,SorP!$B$1:$B$6230,0))))</f>
        <v/>
      </c>
      <c r="U2298" s="238"/>
      <c r="V2298" s="270" t="e">
        <f>IF(C2298="",NA(),MATCH($B2298&amp;$C2298,'Smelter Look-up'!$J:$J,0))</f>
        <v>#N/A</v>
      </c>
      <c r="W2298" s="271"/>
      <c r="X2298" s="271">
        <f t="shared" ca="1" si="322"/>
        <v>0</v>
      </c>
      <c r="Y2298" s="271"/>
      <c r="Z2298" s="271"/>
      <c r="AB2298" s="273" t="str">
        <f t="shared" si="323"/>
        <v/>
      </c>
    </row>
    <row r="2299" spans="1:28" s="272" customFormat="1" ht="20.399999999999999">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t="shared" ref="X2299" ca="1" si="325">IF(AND(C2299="Smelter not listed",OR(LEN(D2299)=0,LEN(E2299)=0)),1,0)</f>
        <v>0</v>
      </c>
      <c r="Y2299" s="271"/>
      <c r="Z2299" s="271"/>
      <c r="AB2299" s="273" t="str">
        <f t="shared" ref="AB2299" si="326">B2299&amp;C2299</f>
        <v/>
      </c>
    </row>
    <row r="2300" spans="1:28" s="272" customFormat="1" ht="20.399999999999999">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328">IF(AND(C2300="Smelter not listed",OR(LEN(D2300)=0,LEN(E2300)=0)),1,0)</f>
        <v>0</v>
      </c>
      <c r="Y2300" s="271"/>
      <c r="Z2300" s="271"/>
      <c r="AB2300" s="273" t="str">
        <f t="shared" ref="AB2300:AB2331" si="329">B2300&amp;C2300</f>
        <v/>
      </c>
    </row>
    <row r="2301" spans="1:28" s="272" customFormat="1" ht="20.399999999999999">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399999999999999">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399999999999999">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399999999999999">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399999999999999">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399999999999999">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399999999999999">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399999999999999">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399999999999999">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399999999999999">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399999999999999">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399999999999999">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399999999999999">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399999999999999">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399999999999999">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399999999999999">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399999999999999">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399999999999999">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399999999999999">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399999999999999">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399999999999999">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399999999999999">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399999999999999">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399999999999999">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399999999999999">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399999999999999">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399999999999999">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399999999999999">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399999999999999">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399999999999999">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27"/>
        <v/>
      </c>
      <c r="T2330" s="222" t="str">
        <f ca="1">IF(B2330="","",IF(ISERROR(MATCH($J2330,SorP!$B$1:$B$6230,0)),"",INDIRECT("'SorP'!$A$"&amp;MATCH($J2330,SorP!$B$1:$B$6230,0))))</f>
        <v/>
      </c>
      <c r="U2330" s="238"/>
      <c r="V2330" s="270" t="e">
        <f>IF(C2330="",NA(),MATCH($B2330&amp;$C2330,'Smelter Look-up'!$J:$J,0))</f>
        <v>#N/A</v>
      </c>
      <c r="W2330" s="271"/>
      <c r="X2330" s="271">
        <f t="shared" ca="1" si="328"/>
        <v>0</v>
      </c>
      <c r="Y2330" s="271"/>
      <c r="Z2330" s="271"/>
      <c r="AB2330" s="273" t="str">
        <f t="shared" si="329"/>
        <v/>
      </c>
    </row>
    <row r="2331" spans="1:28" s="272" customFormat="1" ht="20.399999999999999">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27"/>
        <v/>
      </c>
      <c r="T2331" s="222" t="str">
        <f ca="1">IF(B2331="","",IF(ISERROR(MATCH($J2331,SorP!$B$1:$B$6230,0)),"",INDIRECT("'SorP'!$A$"&amp;MATCH($J2331,SorP!$B$1:$B$6230,0))))</f>
        <v/>
      </c>
      <c r="U2331" s="238"/>
      <c r="V2331" s="270" t="e">
        <f>IF(C2331="",NA(),MATCH($B2331&amp;$C2331,'Smelter Look-up'!$J:$J,0))</f>
        <v>#N/A</v>
      </c>
      <c r="W2331" s="271"/>
      <c r="X2331" s="271">
        <f t="shared" ca="1" si="328"/>
        <v>0</v>
      </c>
      <c r="Y2331" s="271"/>
      <c r="Z2331" s="271"/>
      <c r="AB2331" s="273" t="str">
        <f t="shared" si="329"/>
        <v/>
      </c>
    </row>
    <row r="2332" spans="1:28" s="272" customFormat="1" ht="20.399999999999999">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331">IF(AND(C2332="Smelter not listed",OR(LEN(D2332)=0,LEN(E2332)=0)),1,0)</f>
        <v>0</v>
      </c>
      <c r="Y2332" s="271"/>
      <c r="Z2332" s="271"/>
      <c r="AB2332" s="273" t="str">
        <f t="shared" ref="AB2332:AB2362" si="332">B2332&amp;C2332</f>
        <v/>
      </c>
    </row>
    <row r="2333" spans="1:28" s="272" customFormat="1" ht="20.399999999999999">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399999999999999">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399999999999999">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399999999999999">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399999999999999">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399999999999999">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399999999999999">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399999999999999">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399999999999999">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399999999999999">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399999999999999">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399999999999999">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399999999999999">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399999999999999">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399999999999999">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399999999999999">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399999999999999">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399999999999999">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399999999999999">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399999999999999">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399999999999999">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399999999999999">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399999999999999">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399999999999999">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399999999999999">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399999999999999">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399999999999999">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399999999999999">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20.399999999999999">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0"/>
        <v/>
      </c>
      <c r="T2361" s="222" t="str">
        <f ca="1">IF(B2361="","",IF(ISERROR(MATCH($J2361,SorP!$B$1:$B$6230,0)),"",INDIRECT("'SorP'!$A$"&amp;MATCH($J2361,SorP!$B$1:$B$6230,0))))</f>
        <v/>
      </c>
      <c r="U2361" s="238"/>
      <c r="V2361" s="270" t="e">
        <f>IF(C2361="",NA(),MATCH($B2361&amp;$C2361,'Smelter Look-up'!$J:$J,0))</f>
        <v>#N/A</v>
      </c>
      <c r="W2361" s="271"/>
      <c r="X2361" s="271">
        <f t="shared" ca="1" si="331"/>
        <v>0</v>
      </c>
      <c r="Y2361" s="271"/>
      <c r="Z2361" s="271"/>
      <c r="AB2361" s="273" t="str">
        <f t="shared" si="332"/>
        <v/>
      </c>
    </row>
    <row r="2362" spans="1:28" s="272" customFormat="1" ht="20.399999999999999">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0"/>
        <v/>
      </c>
      <c r="T2362" s="222" t="str">
        <f ca="1">IF(B2362="","",IF(ISERROR(MATCH($J2362,SorP!$B$1:$B$6230,0)),"",INDIRECT("'SorP'!$A$"&amp;MATCH($J2362,SorP!$B$1:$B$6230,0))))</f>
        <v/>
      </c>
      <c r="U2362" s="238"/>
      <c r="V2362" s="270" t="e">
        <f>IF(C2362="",NA(),MATCH($B2362&amp;$C2362,'Smelter Look-up'!$J:$J,0))</f>
        <v>#N/A</v>
      </c>
      <c r="W2362" s="271"/>
      <c r="X2362" s="271">
        <f t="shared" ca="1" si="331"/>
        <v>0</v>
      </c>
      <c r="Y2362" s="271"/>
      <c r="Z2362" s="271"/>
      <c r="AB2362" s="273" t="str">
        <f t="shared" si="332"/>
        <v/>
      </c>
    </row>
    <row r="2363" spans="1:28" s="272" customFormat="1" ht="20.399999999999999">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t="shared" ref="X2363" ca="1" si="334">IF(AND(C2363="Smelter not listed",OR(LEN(D2363)=0,LEN(E2363)=0)),1,0)</f>
        <v>0</v>
      </c>
      <c r="Y2363" s="271"/>
      <c r="Z2363" s="271"/>
      <c r="AB2363" s="273" t="str">
        <f t="shared" ref="AB2363" si="335">B2363&amp;C2363</f>
        <v/>
      </c>
    </row>
    <row r="2364" spans="1:28" s="272" customFormat="1" ht="20.399999999999999">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337">IF(AND(C2364="Smelter not listed",OR(LEN(D2364)=0,LEN(E2364)=0)),1,0)</f>
        <v>0</v>
      </c>
      <c r="Y2364" s="271"/>
      <c r="Z2364" s="271"/>
      <c r="AB2364" s="273" t="str">
        <f t="shared" ref="AB2364:AB2395" si="338">B2364&amp;C2364</f>
        <v/>
      </c>
    </row>
    <row r="2365" spans="1:28" s="272" customFormat="1" ht="20.399999999999999">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399999999999999">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399999999999999">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399999999999999">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399999999999999">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399999999999999">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399999999999999">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399999999999999">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399999999999999">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399999999999999">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399999999999999">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399999999999999">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399999999999999">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399999999999999">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399999999999999">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399999999999999">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399999999999999">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399999999999999">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399999999999999">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399999999999999">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399999999999999">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399999999999999">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399999999999999">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399999999999999">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399999999999999">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399999999999999">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399999999999999">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399999999999999">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399999999999999">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399999999999999">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6"/>
        <v/>
      </c>
      <c r="T2394" s="222" t="str">
        <f ca="1">IF(B2394="","",IF(ISERROR(MATCH($J2394,SorP!$B$1:$B$6230,0)),"",INDIRECT("'SorP'!$A$"&amp;MATCH($J2394,SorP!$B$1:$B$6230,0))))</f>
        <v/>
      </c>
      <c r="U2394" s="238"/>
      <c r="V2394" s="270" t="e">
        <f>IF(C2394="",NA(),MATCH($B2394&amp;$C2394,'Smelter Look-up'!$J:$J,0))</f>
        <v>#N/A</v>
      </c>
      <c r="W2394" s="271"/>
      <c r="X2394" s="271">
        <f t="shared" ca="1" si="337"/>
        <v>0</v>
      </c>
      <c r="Y2394" s="271"/>
      <c r="Z2394" s="271"/>
      <c r="AB2394" s="273" t="str">
        <f t="shared" si="338"/>
        <v/>
      </c>
    </row>
    <row r="2395" spans="1:28" s="272" customFormat="1" ht="20.399999999999999">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6"/>
        <v/>
      </c>
      <c r="T2395" s="222" t="str">
        <f ca="1">IF(B2395="","",IF(ISERROR(MATCH($J2395,SorP!$B$1:$B$6230,0)),"",INDIRECT("'SorP'!$A$"&amp;MATCH($J2395,SorP!$B$1:$B$6230,0))))</f>
        <v/>
      </c>
      <c r="U2395" s="238"/>
      <c r="V2395" s="270" t="e">
        <f>IF(C2395="",NA(),MATCH($B2395&amp;$C2395,'Smelter Look-up'!$J:$J,0))</f>
        <v>#N/A</v>
      </c>
      <c r="W2395" s="271"/>
      <c r="X2395" s="271">
        <f t="shared" ca="1" si="337"/>
        <v>0</v>
      </c>
      <c r="Y2395" s="271"/>
      <c r="Z2395" s="271"/>
      <c r="AB2395" s="273" t="str">
        <f t="shared" si="338"/>
        <v/>
      </c>
    </row>
    <row r="2396" spans="1:28" s="272" customFormat="1" ht="20.399999999999999">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340">IF(AND(C2396="Smelter not listed",OR(LEN(D2396)=0,LEN(E2396)=0)),1,0)</f>
        <v>0</v>
      </c>
      <c r="Y2396" s="271"/>
      <c r="Z2396" s="271"/>
      <c r="AB2396" s="273" t="str">
        <f t="shared" ref="AB2396:AB2426" si="341">B2396&amp;C2396</f>
        <v/>
      </c>
    </row>
    <row r="2397" spans="1:28" s="272" customFormat="1" ht="20.399999999999999">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399999999999999">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399999999999999">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399999999999999">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399999999999999">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399999999999999">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399999999999999">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399999999999999">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399999999999999">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399999999999999">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399999999999999">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399999999999999">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399999999999999">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399999999999999">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399999999999999">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399999999999999">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399999999999999">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399999999999999">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399999999999999">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399999999999999">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399999999999999">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399999999999999">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399999999999999">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399999999999999">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399999999999999">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399999999999999">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399999999999999">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399999999999999">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20.399999999999999">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39"/>
        <v/>
      </c>
      <c r="T2425" s="222" t="str">
        <f ca="1">IF(B2425="","",IF(ISERROR(MATCH($J2425,SorP!$B$1:$B$6230,0)),"",INDIRECT("'SorP'!$A$"&amp;MATCH($J2425,SorP!$B$1:$B$6230,0))))</f>
        <v/>
      </c>
      <c r="U2425" s="238"/>
      <c r="V2425" s="270" t="e">
        <f>IF(C2425="",NA(),MATCH($B2425&amp;$C2425,'Smelter Look-up'!$J:$J,0))</f>
        <v>#N/A</v>
      </c>
      <c r="W2425" s="271"/>
      <c r="X2425" s="271">
        <f t="shared" ca="1" si="340"/>
        <v>0</v>
      </c>
      <c r="Y2425" s="271"/>
      <c r="Z2425" s="271"/>
      <c r="AB2425" s="273" t="str">
        <f t="shared" si="341"/>
        <v/>
      </c>
    </row>
    <row r="2426" spans="1:28" s="272" customFormat="1" ht="20.399999999999999">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39"/>
        <v/>
      </c>
      <c r="T2426" s="222" t="str">
        <f ca="1">IF(B2426="","",IF(ISERROR(MATCH($J2426,SorP!$B$1:$B$6230,0)),"",INDIRECT("'SorP'!$A$"&amp;MATCH($J2426,SorP!$B$1:$B$6230,0))))</f>
        <v/>
      </c>
      <c r="U2426" s="238"/>
      <c r="V2426" s="270" t="e">
        <f>IF(C2426="",NA(),MATCH($B2426&amp;$C2426,'Smelter Look-up'!$J:$J,0))</f>
        <v>#N/A</v>
      </c>
      <c r="W2426" s="271"/>
      <c r="X2426" s="271">
        <f t="shared" ca="1" si="340"/>
        <v>0</v>
      </c>
      <c r="Y2426" s="271"/>
      <c r="Z2426" s="271"/>
      <c r="AB2426" s="273" t="str">
        <f t="shared" si="341"/>
        <v/>
      </c>
    </row>
    <row r="2427" spans="1:28" s="272" customFormat="1" ht="20.399999999999999">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t="shared" ref="X2427" ca="1" si="343">IF(AND(C2427="Smelter not listed",OR(LEN(D2427)=0,LEN(E2427)=0)),1,0)</f>
        <v>0</v>
      </c>
      <c r="Y2427" s="271"/>
      <c r="Z2427" s="271"/>
      <c r="AB2427" s="273" t="str">
        <f t="shared" ref="AB2427" si="344">B2427&amp;C2427</f>
        <v/>
      </c>
    </row>
    <row r="2428" spans="1:28" s="272" customFormat="1" ht="20.399999999999999">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346">IF(AND(C2428="Smelter not listed",OR(LEN(D2428)=0,LEN(E2428)=0)),1,0)</f>
        <v>0</v>
      </c>
      <c r="Y2428" s="271"/>
      <c r="Z2428" s="271"/>
      <c r="AB2428" s="273" t="str">
        <f t="shared" ref="AB2428:AB2459" si="347">B2428&amp;C2428</f>
        <v/>
      </c>
    </row>
    <row r="2429" spans="1:28" s="272" customFormat="1" ht="20.399999999999999">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399999999999999">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399999999999999">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399999999999999">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399999999999999">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399999999999999">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399999999999999">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399999999999999">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399999999999999">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399999999999999">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399999999999999">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399999999999999">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399999999999999">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399999999999999">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399999999999999">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399999999999999">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399999999999999">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399999999999999">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399999999999999">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399999999999999">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399999999999999">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399999999999999">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399999999999999">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399999999999999">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399999999999999">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399999999999999">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399999999999999">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399999999999999">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399999999999999">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399999999999999">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5"/>
        <v/>
      </c>
      <c r="T2458" s="222" t="str">
        <f ca="1">IF(B2458="","",IF(ISERROR(MATCH($J2458,SorP!$B$1:$B$6230,0)),"",INDIRECT("'SorP'!$A$"&amp;MATCH($J2458,SorP!$B$1:$B$6230,0))))</f>
        <v/>
      </c>
      <c r="U2458" s="238"/>
      <c r="V2458" s="270" t="e">
        <f>IF(C2458="",NA(),MATCH($B2458&amp;$C2458,'Smelter Look-up'!$J:$J,0))</f>
        <v>#N/A</v>
      </c>
      <c r="W2458" s="271"/>
      <c r="X2458" s="271">
        <f t="shared" ca="1" si="346"/>
        <v>0</v>
      </c>
      <c r="Y2458" s="271"/>
      <c r="Z2458" s="271"/>
      <c r="AB2458" s="273" t="str">
        <f t="shared" si="347"/>
        <v/>
      </c>
    </row>
    <row r="2459" spans="1:28" s="272" customFormat="1" ht="20.399999999999999">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5"/>
        <v/>
      </c>
      <c r="T2459" s="222" t="str">
        <f ca="1">IF(B2459="","",IF(ISERROR(MATCH($J2459,SorP!$B$1:$B$6230,0)),"",INDIRECT("'SorP'!$A$"&amp;MATCH($J2459,SorP!$B$1:$B$6230,0))))</f>
        <v/>
      </c>
      <c r="U2459" s="238"/>
      <c r="V2459" s="270" t="e">
        <f>IF(C2459="",NA(),MATCH($B2459&amp;$C2459,'Smelter Look-up'!$J:$J,0))</f>
        <v>#N/A</v>
      </c>
      <c r="W2459" s="271"/>
      <c r="X2459" s="271">
        <f t="shared" ca="1" si="346"/>
        <v>0</v>
      </c>
      <c r="Y2459" s="271"/>
      <c r="Z2459" s="271"/>
      <c r="AB2459" s="273" t="str">
        <f t="shared" si="347"/>
        <v/>
      </c>
    </row>
    <row r="2460" spans="1:28" s="272" customFormat="1" ht="20.399999999999999">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349">IF(AND(C2460="Smelter not listed",OR(LEN(D2460)=0,LEN(E2460)=0)),1,0)</f>
        <v>0</v>
      </c>
      <c r="Y2460" s="271"/>
      <c r="Z2460" s="271"/>
      <c r="AB2460" s="273" t="str">
        <f t="shared" ref="AB2460:AB2490" si="350">B2460&amp;C2460</f>
        <v/>
      </c>
    </row>
    <row r="2461" spans="1:28" s="272" customFormat="1" ht="20.399999999999999">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399999999999999">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399999999999999">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399999999999999">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399999999999999">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399999999999999">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399999999999999">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399999999999999">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399999999999999">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399999999999999">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399999999999999">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399999999999999">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399999999999999">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399999999999999">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399999999999999">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399999999999999">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399999999999999">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399999999999999">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399999999999999">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399999999999999">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399999999999999">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399999999999999">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399999999999999">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399999999999999">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399999999999999">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399999999999999">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399999999999999">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399999999999999">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20.399999999999999">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48"/>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si="350"/>
        <v/>
      </c>
    </row>
    <row r="2490" spans="1:28" s="272" customFormat="1" ht="20.399999999999999">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48"/>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 t="shared" si="350"/>
        <v/>
      </c>
    </row>
    <row r="2491" spans="1:28" s="272" customFormat="1" ht="20.399999999999999">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349"/>
        <v>0</v>
      </c>
      <c r="Y2491" s="271"/>
      <c r="Z2491" s="271"/>
      <c r="AB2491" s="273" t="str">
        <f t="shared" ref="AB2491" si="352">B2491&amp;C2491</f>
        <v/>
      </c>
    </row>
    <row r="2492" spans="1:28" s="272" customFormat="1" ht="20.399999999999999">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349"/>
        <v>0</v>
      </c>
      <c r="Y2492" s="271"/>
      <c r="Z2492" s="271"/>
      <c r="AB2492" s="273" t="str">
        <f>B2492&amp;C2492</f>
        <v/>
      </c>
    </row>
    <row r="2493" spans="1:28" s="272" customFormat="1" ht="20.399999999999999">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399999999999999">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399999999999999">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399999999999999">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399999999999999">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399999999999999">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399999999999999">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399999999999999">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399999999999999">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399999999999999">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399999999999999">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354"/>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0.399999999999999">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354"/>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ht="13.8" thickBot="1">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354"/>
        <v/>
      </c>
      <c r="T2505" s="222" t="str">
        <f ca="1">IF(B2505="","",IF(ISERROR(MATCH($J2505,SorP!$B$1:$B$6230,0)),"",INDIRECT("'SorP'!$A$"&amp;MATCH($J2505,SorP!$B$1:$B$6230,0))))</f>
        <v/>
      </c>
      <c r="AB2505" s="272" t="str">
        <f>B2505&amp;C2505</f>
        <v/>
      </c>
    </row>
    <row r="2506" spans="1:28" ht="13.2" thickTop="1">
      <c r="U2506" s="277"/>
      <c r="V2506" s="277"/>
      <c r="W2506" s="277"/>
      <c r="X2506" s="277"/>
      <c r="Y2506" s="277"/>
      <c r="Z2506" s="277"/>
    </row>
    <row r="2507" spans="1:28">
      <c r="U2507" s="277"/>
      <c r="V2507" s="277"/>
      <c r="W2507" s="277"/>
      <c r="X2507" s="277"/>
      <c r="Y2507" s="277"/>
      <c r="Z2507" s="277"/>
    </row>
    <row r="2508" spans="1:28" ht="13.2" thickBot="1">
      <c r="U2508" s="277"/>
      <c r="V2508" s="277"/>
      <c r="W2508" s="277"/>
      <c r="X2508" s="277"/>
      <c r="Y2508" s="277"/>
      <c r="Z2508" s="277"/>
    </row>
  </sheetData>
  <sheetProtection algorithmName="SHA-512" hashValue="+r1CTYSlHrA5vV0quPApz4siblL4kNjlw364k8UbDFFp4K6xZePIO7D6iuJQBgzB8Jj55JwZVlg9LWkJJgPK3Q==" saltValue="rEh3n15PjLJFbx5dprOteg=="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86:B2504">
    <cfRule type="expression" dxfId="57" priority="38" stopIfTrue="1">
      <formula>IF(B586="",TRUE)</formula>
    </cfRule>
    <cfRule type="expression" dxfId="56" priority="49" stopIfTrue="1">
      <formula>IF(AND(COUNTIF(MetalSmelter,B586&amp;C586)=0,LEN(C586)&gt;0),TRUE,FALSE)</formula>
    </cfRule>
  </conditionalFormatting>
  <conditionalFormatting sqref="D586:D2504">
    <cfRule type="expression" dxfId="55" priority="32" stopIfTrue="1">
      <formula>IF(AND(LEN($C586)&gt;0,($C586&lt;&gt;"Smelter Not Listed")),1,0)</formula>
    </cfRule>
    <cfRule type="expression" dxfId="54" priority="57" stopIfTrue="1">
      <formula>IF(AND(D586="",$C586=$X$4),TRUE)</formula>
    </cfRule>
    <cfRule type="expression" dxfId="53" priority="58" stopIfTrue="1">
      <formula>IF(FIND("!",D586),TRUE)</formula>
    </cfRule>
  </conditionalFormatting>
  <conditionalFormatting sqref="G586:G2504">
    <cfRule type="expression" dxfId="52" priority="59" stopIfTrue="1">
      <formula>IF(FIND("Enter smelter details",G586),TRUE)</formula>
    </cfRule>
  </conditionalFormatting>
  <conditionalFormatting sqref="R586:R2505 E586:E2504">
    <cfRule type="expression" dxfId="51" priority="45" stopIfTrue="1">
      <formula>IF(AND(E586="",$C586=$X$4),TRUE)</formula>
    </cfRule>
    <cfRule type="expression" dxfId="50" priority="46" stopIfTrue="1">
      <formula>IF(FIND("!",E586),TRUE)</formula>
    </cfRule>
  </conditionalFormatting>
  <conditionalFormatting sqref="F586:F2504">
    <cfRule type="expression" dxfId="49" priority="36" stopIfTrue="1">
      <formula>IF(AND(LEN($A586)&gt;0,$A586&lt;&gt;$F586),TRUE,FALSE)</formula>
    </cfRule>
  </conditionalFormatting>
  <conditionalFormatting sqref="C586:C2504">
    <cfRule type="expression" dxfId="48" priority="35" stopIfTrue="1">
      <formula>IF(AND(B586&lt;&gt;"",C586=""),TRUE)</formula>
    </cfRule>
  </conditionalFormatting>
  <conditionalFormatting sqref="B21:B585 B5:B19">
    <cfRule type="expression" dxfId="47" priority="14" stopIfTrue="1">
      <formula>IF(B5="",TRUE)</formula>
    </cfRule>
    <cfRule type="expression" dxfId="46" priority="17" stopIfTrue="1">
      <formula>IF(AND(COUNTIF(MetalSmelter,B5&amp;C5)=0,LEN(C5)&gt;0),TRUE,FALSE)</formula>
    </cfRule>
  </conditionalFormatting>
  <conditionalFormatting sqref="D5:D19 D21:D585">
    <cfRule type="expression" dxfId="45" priority="11" stopIfTrue="1">
      <formula>IF(AND(LEN($C5)&gt;0,($C5&lt;&gt;"Smelter Not Listed")),1,0)</formula>
    </cfRule>
    <cfRule type="expression" dxfId="44" priority="18" stopIfTrue="1">
      <formula>IF(AND(D5="",$C5=$X$4),TRUE)</formula>
    </cfRule>
    <cfRule type="expression" dxfId="43" priority="19" stopIfTrue="1">
      <formula>IF(FIND("!",D5),TRUE)</formula>
    </cfRule>
  </conditionalFormatting>
  <conditionalFormatting sqref="G5:G19 G21:G585">
    <cfRule type="expression" dxfId="42" priority="20" stopIfTrue="1">
      <formula>IF(FIND("Enter smelter details",G5),TRUE)</formula>
    </cfRule>
  </conditionalFormatting>
  <conditionalFormatting sqref="R5:R585 E5:E19 E21:E585">
    <cfRule type="expression" dxfId="41" priority="15" stopIfTrue="1">
      <formula>IF(AND(E5="",$C5=$X$4),TRUE)</formula>
    </cfRule>
    <cfRule type="expression" dxfId="40" priority="16" stopIfTrue="1">
      <formula>IF(FIND("!",E5),TRUE)</formula>
    </cfRule>
  </conditionalFormatting>
  <conditionalFormatting sqref="F5:F19 F21:F585">
    <cfRule type="expression" dxfId="39" priority="13" stopIfTrue="1">
      <formula>IF(AND(LEN($A5)&gt;0,$A5&lt;&gt;$F5),TRUE,FALSE)</formula>
    </cfRule>
  </conditionalFormatting>
  <conditionalFormatting sqref="C21:C585 C5:C19">
    <cfRule type="expression" dxfId="38" priority="12" stopIfTrue="1">
      <formula>IF(AND(B5&lt;&gt;"",C5=""),TRUE)</formula>
    </cfRule>
  </conditionalFormatting>
  <conditionalFormatting sqref="B20">
    <cfRule type="expression" dxfId="37" priority="4" stopIfTrue="1">
      <formula>IF(B20="",TRUE)</formula>
    </cfRule>
    <cfRule type="expression" dxfId="36" priority="7" stopIfTrue="1">
      <formula>IF(AND(COUNTIF(MetalSmelter,B20&amp;C20)=0,LEN(C20)&gt;0),TRUE,FALSE)</formula>
    </cfRule>
  </conditionalFormatting>
  <conditionalFormatting sqref="D20">
    <cfRule type="expression" dxfId="35" priority="1" stopIfTrue="1">
      <formula>IF(AND(LEN($C20)&gt;0,($C20&lt;&gt;"Smelter Not Listed")),1,0)</formula>
    </cfRule>
    <cfRule type="expression" dxfId="34" priority="8" stopIfTrue="1">
      <formula>IF(AND(D20="",$C20=$X$4),TRUE)</formula>
    </cfRule>
    <cfRule type="expression" dxfId="33" priority="9" stopIfTrue="1">
      <formula>IF(FIND("!",D20),TRUE)</formula>
    </cfRule>
  </conditionalFormatting>
  <conditionalFormatting sqref="G20">
    <cfRule type="expression" dxfId="32" priority="10" stopIfTrue="1">
      <formula>IF(FIND("Enter smelter details",G20),TRUE)</formula>
    </cfRule>
  </conditionalFormatting>
  <conditionalFormatting sqref="E20">
    <cfRule type="expression" dxfId="31" priority="5" stopIfTrue="1">
      <formula>IF(AND(E20="",$C20=$X$4),TRUE)</formula>
    </cfRule>
    <cfRule type="expression" dxfId="30" priority="6" stopIfTrue="1">
      <formula>IF(FIND("!",E20),TRUE)</formula>
    </cfRule>
  </conditionalFormatting>
  <conditionalFormatting sqref="F20">
    <cfRule type="expression" dxfId="29" priority="3" stopIfTrue="1">
      <formula>IF(AND(LEN($A20)&gt;0,$A20&lt;&gt;$F20),TRUE,FALSE)</formula>
    </cfRule>
  </conditionalFormatting>
  <conditionalFormatting sqref="C20">
    <cfRule type="expression" dxfId="28" priority="2" stopIfTrue="1">
      <formula>IF(AND(B20&lt;&gt;"",C20=""),TRUE)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22" customWidth="1"/>
    <col min="2" max="2" width="42.81640625" style="25" customWidth="1"/>
    <col min="3" max="3" width="51.6328125" style="22" customWidth="1"/>
    <col min="4" max="4" width="29.1796875" style="25" customWidth="1"/>
    <col min="5" max="5" width="9" style="24" customWidth="1"/>
    <col min="6" max="6" width="13.6328125" style="22" hidden="1" customWidth="1"/>
    <col min="7" max="7" width="13.36328125" style="22" hidden="1" customWidth="1"/>
    <col min="8" max="8" width="9" style="22" hidden="1" customWidth="1"/>
    <col min="9" max="9" width="9" style="176" hidden="1" customWidth="1"/>
    <col min="10" max="10" width="48.81640625" style="22" hidden="1" customWidth="1"/>
    <col min="11" max="11" width="9" style="22" hidden="1" customWidth="1"/>
    <col min="12" max="15" width="8.81640625" style="22" hidden="1" customWidth="1"/>
    <col min="16" max="18" width="8.81640625" style="22" customWidth="1"/>
    <col min="19" max="16384" width="8.81640625" style="22"/>
  </cols>
  <sheetData>
    <row r="1" spans="1:10" ht="32.4">
      <c r="A1" s="450" t="str">
        <f ca="1">OFFSET(L!$C$1,MATCH("Checker"&amp;ADDRESS(ROW(),COLUMN(),4),L!$A:$A,0)-1,SL,,)</f>
        <v>To ensure all required fields have been populated before submitting to your customers review form for any line items highlighted in red</v>
      </c>
      <c r="B1" s="450"/>
      <c r="C1" s="450"/>
      <c r="D1" s="146" t="str">
        <f ca="1">OFFSET(L!$C$1,MATCH("Checker"&amp;ADDRESS(ROW(),COLUMN(),4),L!$A:$A,0)-1,SL,,)</f>
        <v>Required fields remaining to be completed</v>
      </c>
      <c r="E1" s="84" t="s">
        <v>806</v>
      </c>
    </row>
    <row r="2" spans="1:10" ht="16.2">
      <c r="A2" s="77" t="s">
        <v>898</v>
      </c>
      <c r="B2" s="78" t="str">
        <f>IF(F65=1,"Click here to return to Smelter List","")</f>
        <v/>
      </c>
      <c r="C2" s="150" t="str">
        <f>IF(F65=1,"Click here to return to Product List","")</f>
        <v/>
      </c>
      <c r="D2" s="181" t="str">
        <f ca="1">IF(H70=0,"0",H70)</f>
        <v>0</v>
      </c>
    </row>
    <row r="3" spans="1:10" ht="16.2">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Photo-Graphics Co., Inc.</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1307</v>
      </c>
      <c r="F6" s="107">
        <f>IF(OR(B5=Declaration!P9,B5=Declaration!Q9,B5=0),0,1)</f>
        <v>0</v>
      </c>
      <c r="G6" s="81">
        <f>IF(B6=0,1,0)</f>
        <v>1</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Susan Willens</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susan@pgnameplates.com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816-761-3333</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Susan Willens</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susan@pgnameplates.com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44494</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
      <c r="A13" s="102" t="str">
        <f ca="1">Declaration!B25</f>
        <v>1) Is any 3TG intentionally added or used in the product(s) or in the production process? (*)</v>
      </c>
      <c r="B13" s="105"/>
      <c r="C13" s="105"/>
      <c r="D13" s="109"/>
      <c r="E13" s="84" t="s">
        <v>810</v>
      </c>
      <c r="F13" s="106"/>
      <c r="G13" s="24"/>
      <c r="H13" s="83">
        <f t="shared" si="3"/>
        <v>0</v>
      </c>
    </row>
    <row r="14" spans="1:10" ht="26.4">
      <c r="A14" s="103" t="str">
        <f ca="1">Declaration!B26</f>
        <v xml:space="preserve">Tantalum  </v>
      </c>
      <c r="B14" s="102" t="str">
        <f>Declaration!D26</f>
        <v>No</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 xml:space="preserve">Tin  </v>
      </c>
      <c r="B15" s="102" t="str">
        <f>Declaration!D27</f>
        <v>No</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 xml:space="preserve">Gold  </v>
      </c>
      <c r="B16" s="102" t="str">
        <f>Declaration!D28</f>
        <v>No</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0.4">
      <c r="A18" s="102" t="str">
        <f ca="1">Declaration!B31</f>
        <v>2) Does any 3TG remain in the product(s)?</v>
      </c>
      <c r="B18" s="105"/>
      <c r="C18" s="105"/>
      <c r="D18" s="109"/>
      <c r="E18" s="84" t="s">
        <v>808</v>
      </c>
      <c r="F18" s="106"/>
      <c r="G18" s="24"/>
      <c r="H18" s="24"/>
      <c r="J18" s="178"/>
    </row>
    <row r="19" spans="1:10" ht="39">
      <c r="A19" s="103" t="str">
        <f ca="1">Declaration!B32</f>
        <v xml:space="preserve">Tantalum  </v>
      </c>
      <c r="B19" s="102">
        <f>IF($B$14="Yes",Declaration!D32,0)</f>
        <v>0</v>
      </c>
      <c r="C19" s="102" t="str">
        <f ca="1">IF(H19=1,J19,I19)</f>
        <v>Complete</v>
      </c>
      <c r="D19" s="110" t="str">
        <f>IF(H19=1,"Click here to answer question 2 for Tantalum","")</f>
        <v/>
      </c>
      <c r="E19" s="84" t="s">
        <v>807</v>
      </c>
      <c r="F19" s="107">
        <f>IF(B$14="No",0,1)</f>
        <v>0</v>
      </c>
      <c r="G19" s="81">
        <f>IF(B19=0,1,0)</f>
        <v>1</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 xml:space="preserve">Tin  </v>
      </c>
      <c r="B20" s="102">
        <f>IF($B$15="Yes",Declaration!D33,0)</f>
        <v>0</v>
      </c>
      <c r="C20" s="102" t="str">
        <f ca="1">IF(H20=1,J20,I20)</f>
        <v>Complete</v>
      </c>
      <c r="D20" s="110" t="str">
        <f>IF(H20=1,"Click here to answer question 2 for Tin","")</f>
        <v/>
      </c>
      <c r="E20" s="84" t="s">
        <v>807</v>
      </c>
      <c r="F20" s="107">
        <f>IF(B$15="No",0,1)</f>
        <v>0</v>
      </c>
      <c r="G20" s="81">
        <f>IF(B20=0,1,0)</f>
        <v>1</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 xml:space="preserve">Gold  </v>
      </c>
      <c r="B21" s="102">
        <f>IF($B$16="Yes",Declaration!D34,0)</f>
        <v>0</v>
      </c>
      <c r="C21" s="102" t="str">
        <f ca="1">IF(H21=1,J21,I21)</f>
        <v>Complete</v>
      </c>
      <c r="D21" s="110" t="str">
        <f>IF(H21=1,"Click here to answer question 2 for Gold","")</f>
        <v/>
      </c>
      <c r="E21" s="84" t="s">
        <v>807</v>
      </c>
      <c r="F21" s="107">
        <f>IF(B$16="No",0,1)</f>
        <v>0</v>
      </c>
      <c r="G21" s="81">
        <f>IF(B21=0,1,0)</f>
        <v>1</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807</v>
      </c>
      <c r="F22" s="107">
        <f>IF(B$17="No",0,1)</f>
        <v>0</v>
      </c>
      <c r="G22" s="81">
        <f>IF(B22=0,1,0)</f>
        <v>1</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v>
      </c>
      <c r="B23" s="105"/>
      <c r="C23" s="105"/>
      <c r="D23" s="109"/>
      <c r="E23" s="84" t="s">
        <v>807</v>
      </c>
      <c r="F23" s="106"/>
      <c r="G23" s="24"/>
      <c r="H23" s="24"/>
      <c r="J23" s="178"/>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807</v>
      </c>
      <c r="F24" s="107">
        <f>IF(OR(B14="No",B19="No"),0,1)</f>
        <v>0</v>
      </c>
      <c r="G24" s="81">
        <f t="shared" ref="G24" si="6">IF(B24=0,1,0)</f>
        <v>1</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 xml:space="preserve">Tin  </v>
      </c>
      <c r="B25" s="102">
        <f>IF(AND($B$15="Yes",$B$20="Yes"),Declaration!D39,0)</f>
        <v>0</v>
      </c>
      <c r="C25" s="102" t="str">
        <f ca="1">IF(H25=1,J25,I25)</f>
        <v>Complete</v>
      </c>
      <c r="D25" s="110" t="str">
        <f>IF(H25=1,"Click here to answer question 3 for Tin","")</f>
        <v/>
      </c>
      <c r="E25" s="84" t="s">
        <v>807</v>
      </c>
      <c r="F25" s="107">
        <f>IF(OR(B15="No",B20="No"),0,1)</f>
        <v>0</v>
      </c>
      <c r="G25" s="81">
        <f>IF(B25=0,1,0)</f>
        <v>1</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 xml:space="preserve">Gold  </v>
      </c>
      <c r="B26" s="102">
        <f>IF(AND($B$16="Yes",$B$21="Yes"),Declaration!D40,0)</f>
        <v>0</v>
      </c>
      <c r="C26" s="102" t="str">
        <f ca="1">IF(H26=1,J26,I26)</f>
        <v>Complete</v>
      </c>
      <c r="D26" s="110" t="str">
        <f>IF(H26=1,"Click here to answer question 3 for Gold","")</f>
        <v/>
      </c>
      <c r="E26" s="84" t="s">
        <v>807</v>
      </c>
      <c r="F26" s="107">
        <f>IF(OR(B16="No",B21="No"),0,1)</f>
        <v>0</v>
      </c>
      <c r="G26" s="81">
        <f>IF(B26=0,1,0)</f>
        <v>1</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807</v>
      </c>
      <c r="F27" s="107">
        <f>IF(OR(B17="No",B22="No"),0,1)</f>
        <v>0</v>
      </c>
      <c r="G27" s="81">
        <f>IF(B27=0,1,0)</f>
        <v>1</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v>
      </c>
      <c r="B28" s="102"/>
      <c r="C28" s="102"/>
      <c r="D28" s="110"/>
      <c r="E28" s="84"/>
      <c r="F28" s="84"/>
      <c r="G28" s="84"/>
      <c r="H28" s="24"/>
      <c r="I28" s="177"/>
    </row>
    <row r="29" spans="1:10" ht="41.1" customHeight="1">
      <c r="A29" s="103" t="str">
        <f ca="1">Declaration!B44</f>
        <v xml:space="preserve">Tantalum  </v>
      </c>
      <c r="B29" s="102">
        <f>IF(AND($B$14="Yes",$B$19="Yes"),Declaration!D44,0)</f>
        <v>0</v>
      </c>
      <c r="C29" s="102" t="str">
        <f ca="1">IF(H29=1,J29,I29)</f>
        <v>Complete</v>
      </c>
      <c r="D29" s="322" t="str">
        <f>IF(H29=1,"Click here to answer question 4 for Tantalum","")</f>
        <v/>
      </c>
      <c r="E29" s="84"/>
      <c r="F29" s="107">
        <f>F24</f>
        <v>0</v>
      </c>
      <c r="G29" s="81">
        <f t="shared" ref="G29" si="8">IF(B29=0,1,0)</f>
        <v>1</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 xml:space="preserve">Tin  </v>
      </c>
      <c r="B30" s="102">
        <f>IF(AND($B$15="Yes",$B$20="Yes"),Declaration!D45,0)</f>
        <v>0</v>
      </c>
      <c r="C30" s="102" t="str">
        <f ca="1">IF(H30=1,J30,I30)</f>
        <v>Complete</v>
      </c>
      <c r="D30" s="322" t="str">
        <f>IF(H30=1,"Click here to answer question 4 for Tin","")</f>
        <v/>
      </c>
      <c r="E30" s="84"/>
      <c r="F30" s="107">
        <f>F25</f>
        <v>0</v>
      </c>
      <c r="G30" s="81">
        <f>IF(B30=0,1,0)</f>
        <v>1</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 xml:space="preserve">Gold  </v>
      </c>
      <c r="B31" s="102">
        <f>IF(AND($B$16="Yes",$B$21="Yes"),Declaration!D46,0)</f>
        <v>0</v>
      </c>
      <c r="C31" s="102" t="str">
        <f ca="1">IF(H31=1,J31,I31)</f>
        <v>Complete</v>
      </c>
      <c r="D31" s="322" t="str">
        <f>IF(H31=1,"Click here to answer question 4 for Gold","")</f>
        <v/>
      </c>
      <c r="E31" s="84"/>
      <c r="F31" s="107">
        <f>F26</f>
        <v>0</v>
      </c>
      <c r="G31" s="81">
        <f>IF(B31=0,1,0)</f>
        <v>1</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22" t="str">
        <f>IF(H32=1,"Click here to answer question 4 for Tungsten","")</f>
        <v/>
      </c>
      <c r="E32" s="84"/>
      <c r="F32" s="107">
        <f>F27</f>
        <v>0</v>
      </c>
      <c r="G32" s="81">
        <f>IF(B32=0,1,0)</f>
        <v>1</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102" t="str">
        <f ca="1">Declaration!B49</f>
        <v xml:space="preserve">5) Does 100 percent of the 3TG (necessary to the functionality or production of your products) originate from recycled or scrap sources? </v>
      </c>
      <c r="B33" s="105"/>
      <c r="C33" s="105"/>
      <c r="D33" s="109"/>
      <c r="E33" s="84" t="s">
        <v>1307</v>
      </c>
      <c r="F33" s="106"/>
      <c r="G33" s="24"/>
      <c r="H33" s="24"/>
      <c r="J33" s="178"/>
    </row>
    <row r="34" spans="1:10" ht="39">
      <c r="A34" s="103" t="str">
        <f ca="1">Declaration!B50</f>
        <v xml:space="preserve">Tantalum  </v>
      </c>
      <c r="B34" s="102">
        <f>IF(AND($B$14="Yes",$B$19="Yes"),Declaration!D50,0)</f>
        <v>0</v>
      </c>
      <c r="C34" s="102" t="str">
        <f ca="1">IF(H34=1,J34,I34)</f>
        <v>Complete</v>
      </c>
      <c r="D34" s="322" t="str">
        <f>IF(H34=1,"Click here to answer question 5 for Tantalum","")</f>
        <v/>
      </c>
      <c r="E34" s="84" t="s">
        <v>1307</v>
      </c>
      <c r="F34" s="107">
        <f>F24</f>
        <v>0</v>
      </c>
      <c r="G34" s="81">
        <f>IF(B34=0,1,0)</f>
        <v>1</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 xml:space="preserve">Tin  </v>
      </c>
      <c r="B35" s="102">
        <f>IF(AND($B$15="Yes",$B$20="Yes"),Declaration!D51,0)</f>
        <v>0</v>
      </c>
      <c r="C35" s="102" t="str">
        <f ca="1">IF(H35=1,J35,I35)</f>
        <v>Complete</v>
      </c>
      <c r="D35" s="322" t="str">
        <f>IF(H35=1,"Click here to answer question 5 for Tin","")</f>
        <v/>
      </c>
      <c r="E35" s="84" t="s">
        <v>1307</v>
      </c>
      <c r="F35" s="107">
        <f>F25</f>
        <v>0</v>
      </c>
      <c r="G35" s="81">
        <f>IF(B35=0,1,0)</f>
        <v>1</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 xml:space="preserve">Gold  </v>
      </c>
      <c r="B36" s="102">
        <f>IF(AND($B$16="Yes",$B$21="Yes"),Declaration!D52,0)</f>
        <v>0</v>
      </c>
      <c r="C36" s="102" t="str">
        <f ca="1">IF(H36=1,J36,I36)</f>
        <v>Complete</v>
      </c>
      <c r="D36" s="322" t="str">
        <f>IF(H36=1,"Click here to answer question 5 for Gold","")</f>
        <v/>
      </c>
      <c r="E36" s="84" t="s">
        <v>1307</v>
      </c>
      <c r="F36" s="107">
        <f>F26</f>
        <v>0</v>
      </c>
      <c r="G36" s="81">
        <f>IF(B36=0,1,0)</f>
        <v>1</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22" t="str">
        <f>IF(H37=1,"Click here to answer question 5 for Tungsten","")</f>
        <v/>
      </c>
      <c r="E37" s="84" t="s">
        <v>1307</v>
      </c>
      <c r="F37" s="107">
        <f>F27</f>
        <v>0</v>
      </c>
      <c r="G37" s="81">
        <f>IF(B37=0,1,0)</f>
        <v>1</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102" t="str">
        <f ca="1">Declaration!B55</f>
        <v xml:space="preserve">6) What percentage of relevant suppliers have provided a response to your supply chain survey? </v>
      </c>
      <c r="B38" s="105"/>
      <c r="C38" s="105"/>
      <c r="D38" s="109"/>
      <c r="E38" s="84" t="s">
        <v>807</v>
      </c>
      <c r="F38" s="106"/>
      <c r="G38" s="24"/>
      <c r="H38" s="24"/>
    </row>
    <row r="39" spans="1:10" ht="26.4">
      <c r="A39" s="103" t="str">
        <f ca="1">Declaration!B56</f>
        <v xml:space="preserve">Tantalum  </v>
      </c>
      <c r="B39" s="341">
        <f>IF(AND($B$14="Yes",$B$19="Yes"),Declaration!D56,0)</f>
        <v>0</v>
      </c>
      <c r="C39" s="102" t="str">
        <f ca="1">IF(H39=1,J39,I39)</f>
        <v>Complete</v>
      </c>
      <c r="D39" s="323" t="str">
        <f>IF(H39=1,"Click here to answer question 6 for Tantalum","")</f>
        <v/>
      </c>
      <c r="E39" s="84" t="s">
        <v>806</v>
      </c>
      <c r="F39" s="107">
        <f>F24</f>
        <v>0</v>
      </c>
      <c r="G39" s="81">
        <f>IF(B39=0,1,0)</f>
        <v>1</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4">
      <c r="A40" s="103" t="str">
        <f ca="1">Declaration!B57</f>
        <v xml:space="preserve">Tin  </v>
      </c>
      <c r="B40" s="341">
        <f>IF(AND($B$15="Yes",$B$20="Yes"),Declaration!D57,0)</f>
        <v>0</v>
      </c>
      <c r="C40" s="102" t="str">
        <f ca="1">IF(H40=1,J40,I40)</f>
        <v>Complete</v>
      </c>
      <c r="D40" s="323" t="str">
        <f>IF(H40=1,"Click here to answer question 6 for Tin","")</f>
        <v/>
      </c>
      <c r="E40" s="84" t="s">
        <v>806</v>
      </c>
      <c r="F40" s="107">
        <f>F25</f>
        <v>0</v>
      </c>
      <c r="G40" s="81">
        <f>IF(B40=0,1,0)</f>
        <v>1</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4">
      <c r="A41" s="103" t="str">
        <f ca="1">Declaration!B58</f>
        <v xml:space="preserve">Gold  </v>
      </c>
      <c r="B41" s="341">
        <f>IF(AND($B$16="Yes",$B$21="Yes"),Declaration!D58,0)</f>
        <v>0</v>
      </c>
      <c r="C41" s="102" t="str">
        <f ca="1">IF(H41=1,J41,I41)</f>
        <v>Complete</v>
      </c>
      <c r="D41" s="323" t="str">
        <f>IF(H41=1,"Click here to answer question 6 for Gold","")</f>
        <v/>
      </c>
      <c r="E41" s="84" t="s">
        <v>806</v>
      </c>
      <c r="F41" s="107">
        <f>F26</f>
        <v>0</v>
      </c>
      <c r="G41" s="81">
        <f>IF(B41=0,1,0)</f>
        <v>1</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4">
      <c r="A42" s="103" t="str">
        <f ca="1">Declaration!B59</f>
        <v xml:space="preserve">Tungsten  </v>
      </c>
      <c r="B42" s="341">
        <f>IF(AND($B$17="Yes",$B$22="Yes"),Declaration!D59,0)</f>
        <v>0</v>
      </c>
      <c r="C42" s="102" t="str">
        <f ca="1">IF(H42=1,J42,I42)</f>
        <v>Complete</v>
      </c>
      <c r="D42" s="323" t="str">
        <f>IF(H42=1,"Click here to answer question 6 for Tungsten","")</f>
        <v/>
      </c>
      <c r="E42" s="84" t="s">
        <v>806</v>
      </c>
      <c r="F42" s="107">
        <f>F27</f>
        <v>0</v>
      </c>
      <c r="G42" s="81">
        <f>IF(B42=0,1,0)</f>
        <v>1</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0.4">
      <c r="A43" s="102" t="str">
        <f ca="1">Declaration!B61</f>
        <v xml:space="preserve">7) Have you identified all of the smelters supplying the 3TG to your supply chain? </v>
      </c>
      <c r="B43" s="105"/>
      <c r="C43" s="105"/>
      <c r="D43" s="109"/>
      <c r="E43" s="84" t="s">
        <v>808</v>
      </c>
      <c r="F43" s="106"/>
      <c r="G43" s="24"/>
      <c r="H43" s="24"/>
    </row>
    <row r="44" spans="1:10" ht="51.6">
      <c r="A44" s="103" t="str">
        <f ca="1">Declaration!B62</f>
        <v xml:space="preserve">Tantalum  </v>
      </c>
      <c r="B44" s="102">
        <f>IF(AND($B$14="Yes",$B$19="Yes"),Declaration!D62,0)</f>
        <v>0</v>
      </c>
      <c r="C44" s="102" t="str">
        <f ca="1">IF(H44=1,J44,I44)</f>
        <v>Complete</v>
      </c>
      <c r="D44" s="322" t="str">
        <f>IF(H44=1,"Click here to answer question 7 for Tantalum","")</f>
        <v/>
      </c>
      <c r="E44" s="84" t="s">
        <v>1303</v>
      </c>
      <c r="F44" s="107">
        <f>F24</f>
        <v>0</v>
      </c>
      <c r="G44" s="81">
        <f>IF(B44=0,1,0)</f>
        <v>1</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6">
      <c r="A45" s="103" t="str">
        <f ca="1">Declaration!B63</f>
        <v xml:space="preserve">Tin  </v>
      </c>
      <c r="B45" s="102">
        <f>IF(AND($B$15="Yes",$B$20="Yes"),Declaration!D63,0)</f>
        <v>0</v>
      </c>
      <c r="C45" s="102" t="str">
        <f ca="1">IF(H45=1,J45,I45)</f>
        <v>Complete</v>
      </c>
      <c r="D45" s="322" t="str">
        <f>IF(H45=1,"Click here to answer question 7 for Tin","")</f>
        <v/>
      </c>
      <c r="E45" s="84" t="s">
        <v>1303</v>
      </c>
      <c r="F45" s="107">
        <f>F25</f>
        <v>0</v>
      </c>
      <c r="G45" s="81">
        <f>IF(B45=0,1,0)</f>
        <v>1</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6">
      <c r="A46" s="103" t="str">
        <f ca="1">Declaration!B64</f>
        <v xml:space="preserve">Gold  </v>
      </c>
      <c r="B46" s="102">
        <f>IF(AND($B$16="Yes",$B$21="Yes"),Declaration!D64,0)</f>
        <v>0</v>
      </c>
      <c r="C46" s="102" t="str">
        <f ca="1">IF(H46=1,J46,I46)</f>
        <v>Complete</v>
      </c>
      <c r="D46" s="322" t="str">
        <f>IF(H46=1,"Click here to answer question 7 for Gold","")</f>
        <v/>
      </c>
      <c r="E46" s="84" t="s">
        <v>1303</v>
      </c>
      <c r="F46" s="107">
        <f>F26</f>
        <v>0</v>
      </c>
      <c r="G46" s="81">
        <f>IF(B46=0,1,0)</f>
        <v>1</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6">
      <c r="A47" s="103" t="str">
        <f ca="1">Declaration!B65</f>
        <v xml:space="preserve">Tungsten  </v>
      </c>
      <c r="B47" s="102">
        <f>IF(AND($B$17="Yes",$B$22="Yes"),Declaration!D65,0)</f>
        <v>0</v>
      </c>
      <c r="C47" s="102" t="str">
        <f ca="1">IF(H47=1,J47,I47)</f>
        <v>Complete</v>
      </c>
      <c r="D47" s="322" t="str">
        <f>IF(H47=1,"Click here to answer question 7 for Tungsten","")</f>
        <v/>
      </c>
      <c r="E47" s="84" t="s">
        <v>1303</v>
      </c>
      <c r="F47" s="107">
        <f>F27</f>
        <v>0</v>
      </c>
      <c r="G47" s="81">
        <f>IF(B47=0,1,0)</f>
        <v>1</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
      <c r="A48" s="102" t="str">
        <f ca="1">Declaration!B67</f>
        <v xml:space="preserve">8) Has all applicable smelter information received by your company been reported in this declaration? </v>
      </c>
      <c r="B48" s="105"/>
      <c r="C48" s="105"/>
      <c r="D48" s="109"/>
      <c r="E48" s="84" t="s">
        <v>809</v>
      </c>
      <c r="F48" s="106"/>
      <c r="G48" s="24"/>
      <c r="H48" s="24"/>
    </row>
    <row r="49" spans="1:10" ht="39">
      <c r="A49" s="103" t="str">
        <f ca="1">Declaration!B68</f>
        <v xml:space="preserve">Tantalum  </v>
      </c>
      <c r="B49" s="102">
        <f>IF(AND($B$14="Yes",$B$19="Yes"),Declaration!D68,0)</f>
        <v>0</v>
      </c>
      <c r="C49" s="102" t="str">
        <f ca="1">IF(H49=1,J49,I49)</f>
        <v>Complete</v>
      </c>
      <c r="D49" s="323" t="str">
        <f>IF(H49=1,"Click here to answer question 8 for Tantalum","")</f>
        <v/>
      </c>
      <c r="E49" s="84" t="s">
        <v>807</v>
      </c>
      <c r="F49" s="107">
        <f>F24</f>
        <v>0</v>
      </c>
      <c r="G49" s="81">
        <f>IF(B49=0,1,0)</f>
        <v>1</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 xml:space="preserve">Tin  </v>
      </c>
      <c r="B50" s="102">
        <f>IF(AND($B$15="Yes",$B$20="Yes"),Declaration!D69,0)</f>
        <v>0</v>
      </c>
      <c r="C50" s="102" t="str">
        <f ca="1">IF(H50=1,J50,I50)</f>
        <v>Complete</v>
      </c>
      <c r="D50" s="323" t="str">
        <f>IF(H50=1,"Click here to answer question 8 for Tin","")</f>
        <v/>
      </c>
      <c r="E50" s="84" t="s">
        <v>807</v>
      </c>
      <c r="F50" s="107">
        <f>F25</f>
        <v>0</v>
      </c>
      <c r="G50" s="81">
        <f>IF(B50=0,1,0)</f>
        <v>1</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 xml:space="preserve">Gold  </v>
      </c>
      <c r="B51" s="102">
        <f>IF(AND($B$16="Yes",$B$21="Yes"),Declaration!D70,0)</f>
        <v>0</v>
      </c>
      <c r="C51" s="102" t="str">
        <f ca="1">IF(H51=1,J51,I51)</f>
        <v>Complete</v>
      </c>
      <c r="D51" s="323" t="str">
        <f>IF(H51=1,"Click here to answer question 8 for Gold","")</f>
        <v/>
      </c>
      <c r="E51" s="84" t="s">
        <v>807</v>
      </c>
      <c r="F51" s="107">
        <f>F26</f>
        <v>0</v>
      </c>
      <c r="G51" s="81">
        <f>IF(B51=0,1,0)</f>
        <v>1</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23" t="str">
        <f>IF(H52=1,"Click here to answer question 8 for Tungsten","")</f>
        <v/>
      </c>
      <c r="E52" s="84" t="s">
        <v>807</v>
      </c>
      <c r="F52" s="107">
        <f>F27</f>
        <v>0</v>
      </c>
      <c r="G52" s="81">
        <f>IF(B52=0,1,0)</f>
        <v>1</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2">
      <c r="A53" s="102" t="str">
        <f ca="1">Declaration!B74</f>
        <v>Question</v>
      </c>
      <c r="B53" s="105"/>
      <c r="C53" s="105"/>
      <c r="D53" s="109"/>
      <c r="E53" s="84" t="s">
        <v>441</v>
      </c>
      <c r="F53" s="106"/>
      <c r="G53" s="106"/>
      <c r="H53" s="106"/>
    </row>
    <row r="54" spans="1:10" ht="39">
      <c r="A54" s="102" t="str">
        <f ca="1">Declaration!B75</f>
        <v>A. Have you established a responsible minerals sourcing policy?</v>
      </c>
      <c r="B54" s="102" t="str">
        <f>Declaration!D75</f>
        <v>Yes</v>
      </c>
      <c r="C54" s="102" t="str">
        <f t="shared" ref="C54:C60" ca="1" si="10">IF(H54=1,J54,I54)</f>
        <v>Complete</v>
      </c>
      <c r="D54" s="108" t="str">
        <f>IF(H54=1,"Click here to answer question (A)","")</f>
        <v/>
      </c>
      <c r="E54" s="84" t="s">
        <v>1307</v>
      </c>
      <c r="F54" s="107">
        <f>IF(SUM(F$24:F$27)=0,0,1)</f>
        <v>0</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v>
      </c>
      <c r="B55" s="102" t="str">
        <f>Declaration!D77</f>
        <v>Yes</v>
      </c>
      <c r="C55" s="102" t="str">
        <f t="shared" ca="1" si="10"/>
        <v>Complete</v>
      </c>
      <c r="D55" s="108" t="str">
        <f>IF(H55=1,"Click here to answer question (B)","")</f>
        <v/>
      </c>
      <c r="E55" s="84" t="s">
        <v>1307</v>
      </c>
      <c r="F55" s="107">
        <f t="shared" ref="F55" si="12">F$54</f>
        <v>0</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49999999999997" customHeight="1">
      <c r="A56" s="102" t="s">
        <v>5</v>
      </c>
      <c r="B56" s="102" t="str">
        <f>Declaration!G77</f>
        <v>https://www.nameplates-labels.com/conflict-minerals_rohs</v>
      </c>
      <c r="C56" s="102" t="str">
        <f t="shared" ca="1" si="10"/>
        <v>Complete</v>
      </c>
      <c r="D56" s="108" t="str">
        <f>IF(H56=1,"Click here to specify URL for question (B)","")</f>
        <v/>
      </c>
      <c r="E56" s="84"/>
      <c r="F56" s="107">
        <f>IF(AND(F55=1,B55="Yes"),1,0)</f>
        <v>0</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0.4">
      <c r="A57" s="102" t="str">
        <f ca="1">Declaration!B79</f>
        <v>C. Do you require your direct suppliers to source the 3TG from smelters whose due diligence practices have been validated by an independent third party audit program?</v>
      </c>
      <c r="B57" s="102" t="str">
        <f>Declaration!D79</f>
        <v>No</v>
      </c>
      <c r="C57" s="102" t="str">
        <f t="shared" ca="1" si="10"/>
        <v>Complete</v>
      </c>
      <c r="D57" s="108" t="str">
        <f>IF(H57=1,"Click here to answer question (C)","")</f>
        <v/>
      </c>
      <c r="E57" s="84" t="s">
        <v>1307</v>
      </c>
      <c r="F57" s="107">
        <f>F$54</f>
        <v>0</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v>
      </c>
      <c r="B58" s="102" t="str">
        <f>Declaration!D81</f>
        <v>Yes</v>
      </c>
      <c r="C58" s="102" t="str">
        <f t="shared" ca="1" si="10"/>
        <v>Complete</v>
      </c>
      <c r="D58" s="108" t="str">
        <f>IF(H58=1,"Click here to answer question (D)","")</f>
        <v/>
      </c>
      <c r="E58" s="84" t="s">
        <v>1307</v>
      </c>
      <c r="F58" s="107">
        <f>F$54</f>
        <v>0</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v>
      </c>
      <c r="B59" s="102" t="str">
        <f>Declaration!D83</f>
        <v>Yes, in conformance with IPC1755 (e.g., CMRT)</v>
      </c>
      <c r="C59" s="102" t="str">
        <f t="shared" ca="1" si="10"/>
        <v>Complete</v>
      </c>
      <c r="D59" s="108" t="str">
        <f>IF(H59=1,"Click here to answer question (E)","")</f>
        <v/>
      </c>
      <c r="E59" s="84" t="s">
        <v>1307</v>
      </c>
      <c r="F59" s="107">
        <f>F$54</f>
        <v>0</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v>
      </c>
      <c r="B60" s="102" t="str">
        <f>Declaration!D85</f>
        <v>Yes</v>
      </c>
      <c r="C60" s="102" t="str">
        <f t="shared" ca="1" si="10"/>
        <v>Complete</v>
      </c>
      <c r="D60" s="108" t="str">
        <f>IF(H60=1,"Click here to answer question (F)","")</f>
        <v/>
      </c>
      <c r="E60" s="84" t="s">
        <v>1307</v>
      </c>
      <c r="F60" s="107">
        <f>F$54</f>
        <v>0</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4.4" hidden="1">
      <c r="A61" s="102"/>
      <c r="B61" s="102"/>
      <c r="C61" s="102"/>
      <c r="D61" s="108"/>
      <c r="E61" s="84"/>
      <c r="F61" s="107"/>
      <c r="G61" s="81"/>
      <c r="H61" s="82"/>
      <c r="I61" s="177"/>
    </row>
    <row r="62" spans="1:10" ht="39">
      <c r="A62" s="102" t="str">
        <f ca="1">Declaration!B87</f>
        <v>G. Does your review process include corrective action management?</v>
      </c>
      <c r="B62" s="102" t="str">
        <f>Declaration!D87</f>
        <v>Yes</v>
      </c>
      <c r="C62" s="102" t="str">
        <f t="shared" ref="C62:C68" ca="1" si="13">IF(H62=1,J62,I62)</f>
        <v>Complete</v>
      </c>
      <c r="D62" s="108" t="str">
        <f>IF(H62=1,"Click here to answer question (G)","")</f>
        <v/>
      </c>
      <c r="E62" s="84" t="s">
        <v>1307</v>
      </c>
      <c r="F62" s="107">
        <f>F$54</f>
        <v>0</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v>
      </c>
      <c r="B63" s="102" t="str">
        <f>Declaration!D89</f>
        <v>No</v>
      </c>
      <c r="C63" s="102" t="str">
        <f t="shared" ca="1" si="13"/>
        <v>Complete</v>
      </c>
      <c r="D63" s="108" t="str">
        <f>IF(H63=1,"Click here to answer question (H)","")</f>
        <v/>
      </c>
      <c r="E63" s="84" t="s">
        <v>1307</v>
      </c>
      <c r="F63" s="107">
        <f>F$54</f>
        <v>0</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One or more product / item numbers have been provided</v>
      </c>
      <c r="C64" s="102" t="str">
        <f t="shared" ca="1" si="13"/>
        <v>Complete</v>
      </c>
      <c r="D64" s="108" t="str">
        <f>IF(H64=1,"Click here to enter detail on Product List tab","")</f>
        <v/>
      </c>
      <c r="E64" s="84" t="s">
        <v>1307</v>
      </c>
      <c r="F64" s="107">
        <f>IF(B5=Declaration!Q9,1,0)</f>
        <v>0</v>
      </c>
      <c r="G64" s="81">
        <f>IF('Product List'!B6="",1,0)</f>
        <v>0</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IF(H65=0,"","Click here to provide smelter information")</f>
        <v/>
      </c>
      <c r="E65" s="84" t="s">
        <v>1307</v>
      </c>
      <c r="F65" s="107">
        <f>F24</f>
        <v>0</v>
      </c>
      <c r="G65" s="81">
        <f>IF(AND(COUNTIF(SmelterIdetifiedForMetal,"Tantalum")&gt;0,COUNTIF('Smelter List'!AB$5:AB$2504,"Tantalum?*")&gt;0),0,1)</f>
        <v>1</v>
      </c>
      <c r="H65" s="82">
        <f t="shared"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IF(H66=0,"","Click here to provide smelter information")</f>
        <v/>
      </c>
      <c r="E66" s="84" t="s">
        <v>807</v>
      </c>
      <c r="F66" s="107">
        <f>F25</f>
        <v>0</v>
      </c>
      <c r="G66" s="81">
        <f>IF(AND(COUNTIF(SmelterIdetifiedForMetal,"Tin")&gt;0,COUNTIF('Smelter List'!AB$5:AB$2504,"Tin?*")&gt;0),0,1)</f>
        <v>1</v>
      </c>
      <c r="H66" s="82">
        <f t="shared"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IF(H67=0,"","Click here to provide smelter information")</f>
        <v/>
      </c>
      <c r="E67" s="84" t="s">
        <v>807</v>
      </c>
      <c r="F67" s="107">
        <f>F26</f>
        <v>0</v>
      </c>
      <c r="G67" s="81">
        <f>IF(AND(COUNTIF(SmelterIdetifiedForMetal,"Gold")&gt;0,COUNTIF('Smelter List'!AB$5:AB$2504,"Gold?*")&gt;0),0,1)</f>
        <v>1</v>
      </c>
      <c r="H67" s="82">
        <f t="shared"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IF(H68=0,"","Click here to provide smelter information")</f>
        <v/>
      </c>
      <c r="E68" s="84" t="s">
        <v>807</v>
      </c>
      <c r="F68" s="107">
        <f>F27</f>
        <v>0</v>
      </c>
      <c r="G68" s="81">
        <f>IF(AND(COUNTIF(SmelterIdetifiedForMetal,"Tungsten")&gt;0,COUNTIF('Smelter List'!AB$5:AB$2504,"Tungsten?*")&gt;0),0,1)</f>
        <v>1</v>
      </c>
      <c r="H68" s="82">
        <f t="shared"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2">
      <c r="A69" s="193" t="s">
        <v>2380</v>
      </c>
      <c r="B69" s="102"/>
      <c r="C69" s="193"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2"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D6" sqref="D6"/>
    </sheetView>
  </sheetViews>
  <sheetFormatPr defaultColWidth="8.81640625" defaultRowHeight="12.6"/>
  <cols>
    <col min="1" max="1" width="3.1796875" style="116" customWidth="1"/>
    <col min="2" max="2" width="39.81640625" style="117" customWidth="1"/>
    <col min="3" max="3" width="39.81640625" style="116" customWidth="1"/>
    <col min="4" max="4" width="58.81640625" style="116" customWidth="1"/>
    <col min="5" max="5" width="1.6328125" style="116" customWidth="1"/>
    <col min="6" max="6" width="9" customWidth="1"/>
    <col min="7" max="16384" width="8.81640625" style="26"/>
  </cols>
  <sheetData>
    <row r="1" spans="1:6" ht="35.1" customHeight="1" thickTop="1">
      <c r="A1" s="452" t="str">
        <f ca="1">OFFSET(L!$C$1,MATCH("Product List"&amp;ADDRESS(ROW(),COLUMN(),4),L!$A:$A,0)-1,SL,,)</f>
        <v>Completion required only if reporting level "Product (or List of Products)" selected on the 'Declaration' worksheet.</v>
      </c>
      <c r="B1" s="453"/>
      <c r="C1" s="453"/>
      <c r="D1" s="453"/>
      <c r="E1" s="145"/>
    </row>
    <row r="2" spans="1:6" ht="13.2">
      <c r="A2" s="29"/>
      <c r="B2" s="147"/>
      <c r="C2" s="147"/>
      <c r="D2"/>
      <c r="E2" s="30"/>
    </row>
    <row r="3" spans="1:6" ht="13.2">
      <c r="A3" s="29"/>
      <c r="B3" s="147"/>
      <c r="C3" s="147"/>
      <c r="D3" s="147"/>
      <c r="E3" s="30"/>
    </row>
    <row r="4" spans="1:6" ht="15.75" customHeight="1">
      <c r="A4" s="29"/>
      <c r="B4" s="451" t="s">
        <v>898</v>
      </c>
      <c r="C4" s="451"/>
      <c r="D4" s="451"/>
      <c r="E4" s="30"/>
    </row>
    <row r="5" spans="1:6" ht="1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
      <c r="A6" s="157"/>
      <c r="B6" s="148" t="s">
        <v>15612</v>
      </c>
      <c r="C6" s="111" t="s">
        <v>15613</v>
      </c>
      <c r="D6" s="111"/>
      <c r="E6" s="32"/>
      <c r="F6"/>
    </row>
    <row r="7" spans="1:6" s="33" customFormat="1" ht="15">
      <c r="A7" s="158"/>
      <c r="B7" s="148"/>
      <c r="C7" s="111"/>
      <c r="D7" s="111"/>
      <c r="E7" s="32"/>
      <c r="F7"/>
    </row>
    <row r="8" spans="1:6" s="33" customFormat="1" ht="15">
      <c r="A8" s="158"/>
      <c r="B8" s="148"/>
      <c r="C8" s="111"/>
      <c r="D8" s="111"/>
      <c r="E8" s="32"/>
      <c r="F8"/>
    </row>
    <row r="9" spans="1:6" s="33" customFormat="1" ht="15">
      <c r="A9" s="158"/>
      <c r="B9" s="148"/>
      <c r="C9" s="111"/>
      <c r="D9" s="111"/>
      <c r="E9" s="32"/>
      <c r="F9"/>
    </row>
    <row r="10" spans="1:6" s="33" customFormat="1" ht="15">
      <c r="A10" s="158"/>
      <c r="B10" s="148"/>
      <c r="C10" s="111"/>
      <c r="D10" s="111"/>
      <c r="E10" s="32"/>
      <c r="F10"/>
    </row>
    <row r="11" spans="1:6" s="33" customFormat="1" ht="15">
      <c r="A11" s="158"/>
      <c r="B11" s="148"/>
      <c r="C11" s="111"/>
      <c r="D11" s="111"/>
      <c r="E11" s="32"/>
      <c r="F11"/>
    </row>
    <row r="12" spans="1:6" s="33" customFormat="1" ht="15">
      <c r="A12" s="158"/>
      <c r="B12" s="148"/>
      <c r="C12" s="111"/>
      <c r="D12" s="111"/>
      <c r="E12" s="32"/>
      <c r="F12"/>
    </row>
    <row r="13" spans="1:6" s="33" customFormat="1" ht="15">
      <c r="A13" s="158"/>
      <c r="B13" s="148"/>
      <c r="C13" s="111"/>
      <c r="D13" s="111"/>
      <c r="E13" s="32"/>
      <c r="F13"/>
    </row>
    <row r="14" spans="1:6" s="33" customFormat="1" ht="15">
      <c r="A14" s="158"/>
      <c r="B14" s="148"/>
      <c r="C14" s="111"/>
      <c r="D14" s="111"/>
      <c r="E14" s="32"/>
      <c r="F14"/>
    </row>
    <row r="15" spans="1:6" s="33" customFormat="1" ht="15">
      <c r="A15" s="158"/>
      <c r="B15" s="148"/>
      <c r="C15" s="111"/>
      <c r="D15" s="111"/>
      <c r="E15" s="32"/>
      <c r="F15"/>
    </row>
    <row r="16" spans="1:6" s="33" customFormat="1" ht="15">
      <c r="A16" s="158"/>
      <c r="B16" s="148"/>
      <c r="C16" s="111"/>
      <c r="D16" s="111"/>
      <c r="E16" s="32"/>
      <c r="F16"/>
    </row>
    <row r="17" spans="1:6" s="33" customFormat="1" ht="15">
      <c r="A17" s="158"/>
      <c r="B17" s="148"/>
      <c r="C17" s="111"/>
      <c r="D17" s="111"/>
      <c r="E17" s="32"/>
      <c r="F17"/>
    </row>
    <row r="18" spans="1:6" s="33" customFormat="1" ht="15">
      <c r="A18" s="158"/>
      <c r="B18" s="148"/>
      <c r="C18" s="111"/>
      <c r="D18" s="111"/>
      <c r="E18" s="32"/>
      <c r="F18"/>
    </row>
    <row r="19" spans="1:6" s="33" customFormat="1" ht="15">
      <c r="A19" s="158"/>
      <c r="B19" s="148"/>
      <c r="C19" s="111"/>
      <c r="D19" s="111"/>
      <c r="E19" s="32"/>
      <c r="F19"/>
    </row>
    <row r="20" spans="1:6" s="33" customFormat="1" ht="15">
      <c r="A20" s="158"/>
      <c r="B20" s="148"/>
      <c r="C20" s="111"/>
      <c r="D20" s="111"/>
      <c r="E20" s="32"/>
      <c r="F20"/>
    </row>
    <row r="21" spans="1:6" s="33" customFormat="1" ht="15">
      <c r="A21" s="158"/>
      <c r="B21" s="148"/>
      <c r="C21" s="111"/>
      <c r="D21" s="111"/>
      <c r="E21" s="32"/>
      <c r="F21"/>
    </row>
    <row r="22" spans="1:6" s="33" customFormat="1" ht="15">
      <c r="A22" s="158"/>
      <c r="B22" s="148"/>
      <c r="C22" s="111"/>
      <c r="D22" s="111"/>
      <c r="E22" s="32"/>
      <c r="F22"/>
    </row>
    <row r="23" spans="1:6" s="33" customFormat="1" ht="15">
      <c r="A23" s="158"/>
      <c r="B23" s="148"/>
      <c r="C23" s="111"/>
      <c r="D23" s="111"/>
      <c r="E23" s="32"/>
      <c r="F23"/>
    </row>
    <row r="24" spans="1:6" s="33" customFormat="1" ht="15">
      <c r="A24" s="158"/>
      <c r="B24" s="148"/>
      <c r="C24" s="111"/>
      <c r="D24" s="111"/>
      <c r="E24" s="32"/>
      <c r="F24"/>
    </row>
    <row r="25" spans="1:6" s="33" customFormat="1" ht="15">
      <c r="A25" s="158"/>
      <c r="B25" s="148"/>
      <c r="C25" s="111"/>
      <c r="D25" s="111"/>
      <c r="E25" s="32"/>
      <c r="F25"/>
    </row>
    <row r="26" spans="1:6" s="33" customFormat="1" ht="15">
      <c r="A26" s="158"/>
      <c r="B26" s="148"/>
      <c r="C26" s="111"/>
      <c r="D26" s="111"/>
      <c r="E26" s="32"/>
      <c r="F26"/>
    </row>
    <row r="27" spans="1:6" s="33" customFormat="1" ht="15">
      <c r="A27" s="158"/>
      <c r="B27" s="148"/>
      <c r="C27" s="111"/>
      <c r="D27" s="111"/>
      <c r="E27" s="32"/>
      <c r="F27"/>
    </row>
    <row r="28" spans="1:6" s="33" customFormat="1" ht="15">
      <c r="A28" s="158"/>
      <c r="B28" s="148"/>
      <c r="C28" s="111"/>
      <c r="D28" s="111"/>
      <c r="E28" s="32"/>
      <c r="F28"/>
    </row>
    <row r="29" spans="1:6" s="33" customFormat="1" ht="15">
      <c r="A29" s="158"/>
      <c r="B29" s="148"/>
      <c r="C29" s="111"/>
      <c r="D29" s="111"/>
      <c r="E29" s="32"/>
      <c r="F29"/>
    </row>
    <row r="30" spans="1:6" s="33" customFormat="1" ht="15">
      <c r="A30" s="158"/>
      <c r="B30" s="148"/>
      <c r="C30" s="111"/>
      <c r="D30" s="111"/>
      <c r="E30" s="32"/>
      <c r="F30"/>
    </row>
    <row r="31" spans="1:6" s="33" customFormat="1" ht="15">
      <c r="A31" s="158"/>
      <c r="B31" s="148"/>
      <c r="C31" s="111"/>
      <c r="D31" s="111"/>
      <c r="E31" s="32"/>
      <c r="F31"/>
    </row>
    <row r="32" spans="1:6" s="33" customFormat="1" ht="15">
      <c r="A32" s="158"/>
      <c r="B32" s="148"/>
      <c r="C32" s="111"/>
      <c r="D32" s="111"/>
      <c r="E32" s="32"/>
      <c r="F32"/>
    </row>
    <row r="33" spans="1:6" s="33" customFormat="1" ht="15">
      <c r="A33" s="158"/>
      <c r="B33" s="148"/>
      <c r="C33" s="111"/>
      <c r="D33" s="111"/>
      <c r="E33" s="32"/>
      <c r="F33"/>
    </row>
    <row r="34" spans="1:6" s="33" customFormat="1" ht="15">
      <c r="A34" s="158"/>
      <c r="B34" s="148"/>
      <c r="C34" s="111"/>
      <c r="D34" s="111"/>
      <c r="E34" s="32"/>
      <c r="F34"/>
    </row>
    <row r="35" spans="1:6" s="33" customFormat="1" ht="15">
      <c r="A35" s="158"/>
      <c r="B35" s="148"/>
      <c r="C35" s="111"/>
      <c r="D35" s="111"/>
      <c r="E35" s="32"/>
      <c r="F35"/>
    </row>
    <row r="36" spans="1:6" s="33" customFormat="1" ht="15">
      <c r="A36" s="158"/>
      <c r="B36" s="148"/>
      <c r="C36" s="111"/>
      <c r="D36" s="111"/>
      <c r="E36" s="32"/>
      <c r="F36"/>
    </row>
    <row r="37" spans="1:6" s="33" customFormat="1" ht="15">
      <c r="A37" s="158"/>
      <c r="B37" s="148"/>
      <c r="C37" s="111"/>
      <c r="D37" s="111"/>
      <c r="E37" s="32"/>
      <c r="F37"/>
    </row>
    <row r="38" spans="1:6" s="33" customFormat="1" ht="15">
      <c r="A38" s="158"/>
      <c r="B38" s="148"/>
      <c r="C38" s="111"/>
      <c r="D38" s="111"/>
      <c r="E38" s="32"/>
      <c r="F38"/>
    </row>
    <row r="39" spans="1:6" s="33" customFormat="1" ht="15">
      <c r="A39" s="158"/>
      <c r="B39" s="148"/>
      <c r="C39" s="111"/>
      <c r="D39" s="111"/>
      <c r="E39" s="32"/>
      <c r="F39"/>
    </row>
    <row r="40" spans="1:6" s="33" customFormat="1" ht="15">
      <c r="A40" s="158"/>
      <c r="B40" s="148"/>
      <c r="C40" s="111"/>
      <c r="D40" s="111"/>
      <c r="E40" s="32"/>
      <c r="F40"/>
    </row>
    <row r="41" spans="1:6" s="33" customFormat="1" ht="15">
      <c r="A41" s="158"/>
      <c r="B41" s="148"/>
      <c r="C41" s="111"/>
      <c r="D41" s="111"/>
      <c r="E41" s="32"/>
      <c r="F41"/>
    </row>
    <row r="42" spans="1:6" s="33" customFormat="1" ht="15">
      <c r="A42" s="158"/>
      <c r="B42" s="148"/>
      <c r="C42" s="111"/>
      <c r="D42" s="111"/>
      <c r="E42" s="32"/>
      <c r="F42"/>
    </row>
    <row r="43" spans="1:6" s="33" customFormat="1" ht="15">
      <c r="A43" s="158"/>
      <c r="B43" s="148"/>
      <c r="C43" s="111"/>
      <c r="D43" s="111"/>
      <c r="E43" s="32"/>
      <c r="F43"/>
    </row>
    <row r="44" spans="1:6" s="33" customFormat="1" ht="15">
      <c r="A44" s="158"/>
      <c r="B44" s="148"/>
      <c r="C44" s="111"/>
      <c r="D44" s="111"/>
      <c r="E44" s="32"/>
      <c r="F44"/>
    </row>
    <row r="45" spans="1:6" s="33" customFormat="1" ht="15">
      <c r="A45" s="158"/>
      <c r="B45" s="148"/>
      <c r="C45" s="111"/>
      <c r="D45" s="111"/>
      <c r="E45" s="32"/>
      <c r="F45"/>
    </row>
    <row r="46" spans="1:6" s="33" customFormat="1" ht="15">
      <c r="A46" s="158"/>
      <c r="B46" s="148"/>
      <c r="C46" s="111"/>
      <c r="D46" s="111"/>
      <c r="E46" s="32"/>
      <c r="F46"/>
    </row>
    <row r="47" spans="1:6" s="33" customFormat="1" ht="15">
      <c r="A47" s="158"/>
      <c r="B47" s="148"/>
      <c r="C47" s="111"/>
      <c r="D47" s="111"/>
      <c r="E47" s="32"/>
      <c r="F47"/>
    </row>
    <row r="48" spans="1:6" s="33" customFormat="1" ht="15">
      <c r="A48" s="158"/>
      <c r="B48" s="148"/>
      <c r="C48" s="111"/>
      <c r="D48" s="111"/>
      <c r="E48" s="32"/>
      <c r="F48"/>
    </row>
    <row r="49" spans="1:6" s="33" customFormat="1" ht="15">
      <c r="A49" s="158"/>
      <c r="B49" s="148"/>
      <c r="C49" s="111"/>
      <c r="D49" s="111"/>
      <c r="E49" s="32"/>
      <c r="F49"/>
    </row>
    <row r="50" spans="1:6" s="33" customFormat="1" ht="15">
      <c r="A50" s="158"/>
      <c r="B50" s="148"/>
      <c r="C50" s="111"/>
      <c r="D50" s="111"/>
      <c r="E50" s="32"/>
      <c r="F50"/>
    </row>
    <row r="51" spans="1:6" s="33" customFormat="1" ht="15">
      <c r="A51" s="158"/>
      <c r="B51" s="148"/>
      <c r="C51" s="111"/>
      <c r="D51" s="111"/>
      <c r="E51" s="32"/>
      <c r="F51"/>
    </row>
    <row r="52" spans="1:6" s="33" customFormat="1" ht="15">
      <c r="A52" s="158"/>
      <c r="B52" s="148"/>
      <c r="C52" s="111"/>
      <c r="D52" s="111"/>
      <c r="E52" s="32"/>
      <c r="F52"/>
    </row>
    <row r="53" spans="1:6" s="33" customFormat="1" ht="15">
      <c r="A53" s="158"/>
      <c r="B53" s="148"/>
      <c r="C53" s="111"/>
      <c r="D53" s="111"/>
      <c r="E53" s="32"/>
      <c r="F53"/>
    </row>
    <row r="54" spans="1:6" s="33" customFormat="1" ht="15">
      <c r="A54" s="158"/>
      <c r="B54" s="148"/>
      <c r="C54" s="111"/>
      <c r="D54" s="111"/>
      <c r="E54" s="32"/>
      <c r="F54"/>
    </row>
    <row r="55" spans="1:6" s="33" customFormat="1" ht="15">
      <c r="A55" s="158"/>
      <c r="B55" s="148"/>
      <c r="C55" s="111"/>
      <c r="D55" s="111"/>
      <c r="E55" s="32"/>
      <c r="F55"/>
    </row>
    <row r="56" spans="1:6" s="33" customFormat="1" ht="15">
      <c r="A56" s="158"/>
      <c r="B56" s="148"/>
      <c r="C56" s="111"/>
      <c r="D56" s="111"/>
      <c r="E56" s="32"/>
      <c r="F56"/>
    </row>
    <row r="57" spans="1:6" s="33" customFormat="1" ht="15">
      <c r="A57" s="158"/>
      <c r="B57" s="148"/>
      <c r="C57" s="111"/>
      <c r="D57" s="111"/>
      <c r="E57" s="32"/>
      <c r="F57"/>
    </row>
    <row r="58" spans="1:6" s="33" customFormat="1" ht="15">
      <c r="A58" s="158"/>
      <c r="B58" s="148"/>
      <c r="C58" s="111"/>
      <c r="D58" s="111"/>
      <c r="E58" s="32"/>
      <c r="F58"/>
    </row>
    <row r="59" spans="1:6" s="33" customFormat="1" ht="15">
      <c r="A59" s="158"/>
      <c r="B59" s="148"/>
      <c r="C59" s="111"/>
      <c r="D59" s="111"/>
      <c r="E59" s="32"/>
      <c r="F59"/>
    </row>
    <row r="60" spans="1:6" s="33" customFormat="1" ht="15">
      <c r="A60" s="158"/>
      <c r="B60" s="148"/>
      <c r="C60" s="111"/>
      <c r="D60" s="111"/>
      <c r="E60" s="32"/>
      <c r="F60"/>
    </row>
    <row r="61" spans="1:6" s="33" customFormat="1" ht="15">
      <c r="A61" s="158"/>
      <c r="B61" s="148"/>
      <c r="C61" s="111"/>
      <c r="D61" s="111"/>
      <c r="E61" s="32"/>
      <c r="F61"/>
    </row>
    <row r="62" spans="1:6" s="33" customFormat="1" ht="15">
      <c r="A62" s="158"/>
      <c r="B62" s="148"/>
      <c r="C62" s="111"/>
      <c r="D62" s="111"/>
      <c r="E62" s="32"/>
      <c r="F62"/>
    </row>
    <row r="63" spans="1:6" s="33" customFormat="1" ht="15">
      <c r="A63" s="158"/>
      <c r="B63" s="148"/>
      <c r="C63" s="111"/>
      <c r="D63" s="111"/>
      <c r="E63" s="32"/>
      <c r="F63"/>
    </row>
    <row r="64" spans="1:6" s="33" customFormat="1" ht="15">
      <c r="A64" s="158"/>
      <c r="B64" s="148"/>
      <c r="C64" s="111"/>
      <c r="D64" s="111"/>
      <c r="E64" s="32"/>
      <c r="F64"/>
    </row>
    <row r="65" spans="1:6" s="33" customFormat="1" ht="15">
      <c r="A65" s="158"/>
      <c r="B65" s="148"/>
      <c r="C65" s="111"/>
      <c r="D65" s="111"/>
      <c r="E65" s="32"/>
      <c r="F65"/>
    </row>
    <row r="66" spans="1:6" s="33" customFormat="1" ht="15">
      <c r="A66" s="158"/>
      <c r="B66" s="148"/>
      <c r="C66" s="111"/>
      <c r="D66" s="111"/>
      <c r="E66" s="32"/>
      <c r="F66"/>
    </row>
    <row r="67" spans="1:6" s="33" customFormat="1" ht="15">
      <c r="A67" s="158"/>
      <c r="B67" s="148"/>
      <c r="C67" s="111"/>
      <c r="D67" s="111"/>
      <c r="E67" s="32"/>
      <c r="F67"/>
    </row>
    <row r="68" spans="1:6" s="33" customFormat="1" ht="15">
      <c r="A68" s="158"/>
      <c r="B68" s="148"/>
      <c r="C68" s="111"/>
      <c r="D68" s="111"/>
      <c r="E68" s="32"/>
      <c r="F68"/>
    </row>
    <row r="69" spans="1:6" s="33" customFormat="1" ht="15">
      <c r="A69" s="158"/>
      <c r="B69" s="148"/>
      <c r="C69" s="111"/>
      <c r="D69" s="111"/>
      <c r="E69" s="32"/>
      <c r="F69"/>
    </row>
    <row r="70" spans="1:6" s="33" customFormat="1" ht="15">
      <c r="A70" s="158"/>
      <c r="B70" s="148"/>
      <c r="C70" s="111"/>
      <c r="D70" s="111"/>
      <c r="E70" s="32"/>
      <c r="F70"/>
    </row>
    <row r="71" spans="1:6" s="33" customFormat="1" ht="15">
      <c r="A71" s="158"/>
      <c r="B71" s="148"/>
      <c r="C71" s="111"/>
      <c r="D71" s="111"/>
      <c r="E71" s="32"/>
      <c r="F71"/>
    </row>
    <row r="72" spans="1:6" s="33" customFormat="1" ht="15">
      <c r="A72" s="158"/>
      <c r="B72" s="148"/>
      <c r="C72" s="111"/>
      <c r="D72" s="111"/>
      <c r="E72" s="32"/>
      <c r="F72"/>
    </row>
    <row r="73" spans="1:6" s="33" customFormat="1" ht="15">
      <c r="A73" s="158"/>
      <c r="B73" s="148"/>
      <c r="C73" s="111"/>
      <c r="D73" s="111"/>
      <c r="E73" s="32"/>
      <c r="F73"/>
    </row>
    <row r="74" spans="1:6" s="33" customFormat="1" ht="15">
      <c r="A74" s="158"/>
      <c r="B74" s="148"/>
      <c r="C74" s="111"/>
      <c r="D74" s="111"/>
      <c r="E74" s="32"/>
      <c r="F74"/>
    </row>
    <row r="75" spans="1:6" s="33" customFormat="1" ht="15">
      <c r="A75" s="158"/>
      <c r="B75" s="148"/>
      <c r="C75" s="111"/>
      <c r="D75" s="111"/>
      <c r="E75" s="32"/>
      <c r="F75"/>
    </row>
    <row r="76" spans="1:6" s="33" customFormat="1" ht="15">
      <c r="A76" s="158"/>
      <c r="B76" s="148"/>
      <c r="C76" s="111"/>
      <c r="D76" s="111"/>
      <c r="E76" s="32"/>
      <c r="F76"/>
    </row>
    <row r="77" spans="1:6" s="33" customFormat="1" ht="15">
      <c r="A77" s="158"/>
      <c r="B77" s="148"/>
      <c r="C77" s="111"/>
      <c r="D77" s="111"/>
      <c r="E77" s="32"/>
      <c r="F77"/>
    </row>
    <row r="78" spans="1:6" s="33" customFormat="1" ht="15">
      <c r="A78" s="158"/>
      <c r="B78" s="148"/>
      <c r="C78" s="111"/>
      <c r="D78" s="111"/>
      <c r="E78" s="32"/>
      <c r="F78"/>
    </row>
    <row r="79" spans="1:6" s="33" customFormat="1" ht="15">
      <c r="A79" s="158"/>
      <c r="B79" s="148"/>
      <c r="C79" s="111"/>
      <c r="D79" s="111"/>
      <c r="E79" s="32"/>
      <c r="F79"/>
    </row>
    <row r="80" spans="1:6" s="33" customFormat="1" ht="15">
      <c r="A80" s="158"/>
      <c r="B80" s="148"/>
      <c r="C80" s="111"/>
      <c r="D80" s="111"/>
      <c r="E80" s="32"/>
      <c r="F80"/>
    </row>
    <row r="81" spans="1:6" s="33" customFormat="1" ht="15">
      <c r="A81" s="158"/>
      <c r="B81" s="148"/>
      <c r="C81" s="111"/>
      <c r="D81" s="111"/>
      <c r="E81" s="32"/>
      <c r="F81"/>
    </row>
    <row r="82" spans="1:6" s="33" customFormat="1" ht="15">
      <c r="A82" s="158"/>
      <c r="B82" s="148"/>
      <c r="C82" s="111"/>
      <c r="D82" s="111"/>
      <c r="E82" s="32"/>
      <c r="F82"/>
    </row>
    <row r="83" spans="1:6" s="33" customFormat="1" ht="15">
      <c r="A83" s="158"/>
      <c r="B83" s="148"/>
      <c r="C83" s="111"/>
      <c r="D83" s="111"/>
      <c r="E83" s="32"/>
      <c r="F83"/>
    </row>
    <row r="84" spans="1:6" s="33" customFormat="1" ht="15">
      <c r="A84" s="158"/>
      <c r="B84" s="148"/>
      <c r="C84" s="111"/>
      <c r="D84" s="111"/>
      <c r="E84" s="32"/>
      <c r="F84"/>
    </row>
    <row r="85" spans="1:6" s="33" customFormat="1" ht="15">
      <c r="A85" s="158"/>
      <c r="B85" s="148"/>
      <c r="C85" s="111"/>
      <c r="D85" s="111"/>
      <c r="E85" s="32"/>
      <c r="F85"/>
    </row>
    <row r="86" spans="1:6" s="33" customFormat="1" ht="15">
      <c r="A86" s="158"/>
      <c r="B86" s="148"/>
      <c r="C86" s="111"/>
      <c r="D86" s="111"/>
      <c r="E86" s="32"/>
      <c r="F86"/>
    </row>
    <row r="87" spans="1:6" s="33" customFormat="1" ht="15">
      <c r="A87" s="158"/>
      <c r="B87" s="148"/>
      <c r="C87" s="111"/>
      <c r="D87" s="111"/>
      <c r="E87" s="32"/>
      <c r="F87"/>
    </row>
    <row r="88" spans="1:6" s="33" customFormat="1" ht="15">
      <c r="A88" s="158"/>
      <c r="B88" s="148"/>
      <c r="C88" s="111"/>
      <c r="D88" s="111"/>
      <c r="E88" s="32"/>
      <c r="F88"/>
    </row>
    <row r="89" spans="1:6" s="33" customFormat="1" ht="15">
      <c r="A89" s="158"/>
      <c r="B89" s="148"/>
      <c r="C89" s="111"/>
      <c r="D89" s="111"/>
      <c r="E89" s="32"/>
      <c r="F89"/>
    </row>
    <row r="90" spans="1:6" s="33" customFormat="1" ht="15">
      <c r="A90" s="158"/>
      <c r="B90" s="148"/>
      <c r="C90" s="111"/>
      <c r="D90" s="111"/>
      <c r="E90" s="32"/>
      <c r="F90"/>
    </row>
    <row r="91" spans="1:6" s="33" customFormat="1" ht="15">
      <c r="A91" s="158"/>
      <c r="B91" s="148"/>
      <c r="C91" s="111"/>
      <c r="D91" s="111"/>
      <c r="E91" s="32"/>
      <c r="F91"/>
    </row>
    <row r="92" spans="1:6" s="33" customFormat="1" ht="15">
      <c r="A92" s="158"/>
      <c r="B92" s="148"/>
      <c r="C92" s="111"/>
      <c r="D92" s="111"/>
      <c r="E92" s="32"/>
      <c r="F92"/>
    </row>
    <row r="93" spans="1:6" s="33" customFormat="1" ht="15">
      <c r="A93" s="158"/>
      <c r="B93" s="148"/>
      <c r="C93" s="111"/>
      <c r="D93" s="111"/>
      <c r="E93" s="32"/>
      <c r="F93"/>
    </row>
    <row r="94" spans="1:6" s="33" customFormat="1" ht="15">
      <c r="A94" s="158"/>
      <c r="B94" s="148"/>
      <c r="C94" s="111"/>
      <c r="D94" s="111"/>
      <c r="E94" s="32"/>
      <c r="F94"/>
    </row>
    <row r="95" spans="1:6" s="33" customFormat="1" ht="15">
      <c r="A95" s="158"/>
      <c r="B95" s="148"/>
      <c r="C95" s="111"/>
      <c r="D95" s="111"/>
      <c r="E95" s="32"/>
      <c r="F95"/>
    </row>
    <row r="96" spans="1:6" s="33" customFormat="1" ht="15">
      <c r="A96" s="158"/>
      <c r="B96" s="148"/>
      <c r="C96" s="111"/>
      <c r="D96" s="111"/>
      <c r="E96" s="32"/>
      <c r="F96"/>
    </row>
    <row r="97" spans="1:6" s="33" customFormat="1" ht="15">
      <c r="A97" s="158"/>
      <c r="B97" s="148"/>
      <c r="C97" s="111"/>
      <c r="D97" s="111"/>
      <c r="E97" s="32"/>
      <c r="F97"/>
    </row>
    <row r="98" spans="1:6" s="33" customFormat="1" ht="15">
      <c r="A98" s="158"/>
      <c r="B98" s="148"/>
      <c r="C98" s="111"/>
      <c r="D98" s="111"/>
      <c r="E98" s="32"/>
      <c r="F98"/>
    </row>
    <row r="99" spans="1:6" s="33" customFormat="1" ht="15">
      <c r="A99" s="158"/>
      <c r="B99" s="148"/>
      <c r="C99" s="111"/>
      <c r="D99" s="111"/>
      <c r="E99" s="32"/>
      <c r="F99"/>
    </row>
    <row r="100" spans="1:6" s="33" customFormat="1" ht="15">
      <c r="A100" s="158"/>
      <c r="B100" s="148"/>
      <c r="C100" s="111"/>
      <c r="D100" s="111"/>
      <c r="E100" s="32"/>
      <c r="F100"/>
    </row>
    <row r="101" spans="1:6" s="33" customFormat="1" ht="15">
      <c r="A101" s="158"/>
      <c r="B101" s="148"/>
      <c r="C101" s="111"/>
      <c r="D101" s="111"/>
      <c r="E101" s="32"/>
      <c r="F101"/>
    </row>
    <row r="102" spans="1:6" s="33" customFormat="1" ht="15">
      <c r="A102" s="158"/>
      <c r="B102" s="148"/>
      <c r="C102" s="111"/>
      <c r="D102" s="111"/>
      <c r="E102" s="32"/>
      <c r="F102"/>
    </row>
    <row r="103" spans="1:6" s="33" customFormat="1" ht="15">
      <c r="A103" s="158"/>
      <c r="B103" s="148"/>
      <c r="C103" s="111"/>
      <c r="D103" s="111"/>
      <c r="E103" s="32"/>
      <c r="F103"/>
    </row>
    <row r="104" spans="1:6" s="33" customFormat="1" ht="15">
      <c r="A104" s="158"/>
      <c r="B104" s="148"/>
      <c r="C104" s="111"/>
      <c r="D104" s="111"/>
      <c r="E104" s="32"/>
      <c r="F104"/>
    </row>
    <row r="105" spans="1:6" s="33" customFormat="1" ht="15">
      <c r="A105" s="158"/>
      <c r="B105" s="148"/>
      <c r="C105" s="111"/>
      <c r="D105" s="111"/>
      <c r="E105" s="32"/>
      <c r="F105"/>
    </row>
    <row r="106" spans="1:6" s="33" customFormat="1" ht="15">
      <c r="A106" s="158"/>
      <c r="B106" s="148"/>
      <c r="C106" s="111"/>
      <c r="D106" s="111"/>
      <c r="E106" s="32"/>
      <c r="F106"/>
    </row>
    <row r="107" spans="1:6" s="33" customFormat="1" ht="15">
      <c r="A107" s="158"/>
      <c r="B107" s="148"/>
      <c r="C107" s="111"/>
      <c r="D107" s="111"/>
      <c r="E107" s="32"/>
      <c r="F107"/>
    </row>
    <row r="108" spans="1:6" s="33" customFormat="1" ht="15">
      <c r="A108" s="158"/>
      <c r="B108" s="148"/>
      <c r="C108" s="111"/>
      <c r="D108" s="111"/>
      <c r="E108" s="32"/>
      <c r="F108"/>
    </row>
    <row r="109" spans="1:6" s="33" customFormat="1" ht="15">
      <c r="A109" s="158"/>
      <c r="B109" s="148"/>
      <c r="C109" s="111"/>
      <c r="D109" s="111"/>
      <c r="E109" s="32"/>
      <c r="F109"/>
    </row>
    <row r="110" spans="1:6" s="33" customFormat="1" ht="15">
      <c r="A110" s="158"/>
      <c r="B110" s="148"/>
      <c r="C110" s="111"/>
      <c r="D110" s="111"/>
      <c r="E110" s="32"/>
      <c r="F110"/>
    </row>
    <row r="111" spans="1:6" s="33" customFormat="1" ht="15">
      <c r="A111" s="158"/>
      <c r="B111" s="148"/>
      <c r="C111" s="111"/>
      <c r="D111" s="111"/>
      <c r="E111" s="32"/>
      <c r="F111"/>
    </row>
    <row r="112" spans="1:6" s="33" customFormat="1" ht="15">
      <c r="A112" s="158"/>
      <c r="B112" s="148"/>
      <c r="C112" s="111"/>
      <c r="D112" s="111"/>
      <c r="E112" s="32"/>
      <c r="F112"/>
    </row>
    <row r="113" spans="1:6" s="33" customFormat="1" ht="15">
      <c r="A113" s="158"/>
      <c r="B113" s="148"/>
      <c r="C113" s="111"/>
      <c r="D113" s="111"/>
      <c r="E113" s="32"/>
      <c r="F113"/>
    </row>
    <row r="114" spans="1:6" s="33" customFormat="1" ht="15">
      <c r="A114" s="158"/>
      <c r="B114" s="148"/>
      <c r="C114" s="111"/>
      <c r="D114" s="111"/>
      <c r="E114" s="32"/>
      <c r="F114"/>
    </row>
    <row r="115" spans="1:6" s="33" customFormat="1" ht="15">
      <c r="A115" s="158"/>
      <c r="B115" s="148"/>
      <c r="C115" s="111"/>
      <c r="D115" s="111"/>
      <c r="E115" s="32"/>
      <c r="F115"/>
    </row>
    <row r="116" spans="1:6" s="33" customFormat="1" ht="15">
      <c r="A116" s="158"/>
      <c r="B116" s="148"/>
      <c r="C116" s="111"/>
      <c r="D116" s="111"/>
      <c r="E116" s="32"/>
      <c r="F116"/>
    </row>
    <row r="117" spans="1:6" s="33" customFormat="1" ht="15">
      <c r="A117" s="158"/>
      <c r="B117" s="148"/>
      <c r="C117" s="111"/>
      <c r="D117" s="111"/>
      <c r="E117" s="32"/>
      <c r="F117"/>
    </row>
    <row r="118" spans="1:6" s="33" customFormat="1" ht="15">
      <c r="A118" s="158"/>
      <c r="B118" s="148"/>
      <c r="C118" s="111"/>
      <c r="D118" s="111"/>
      <c r="E118" s="32"/>
      <c r="F118"/>
    </row>
    <row r="119" spans="1:6" s="33" customFormat="1" ht="15">
      <c r="A119" s="158"/>
      <c r="B119" s="148"/>
      <c r="C119" s="111"/>
      <c r="D119" s="111"/>
      <c r="E119" s="32"/>
      <c r="F119"/>
    </row>
    <row r="120" spans="1:6" s="33" customFormat="1" ht="15">
      <c r="A120" s="158"/>
      <c r="B120" s="148"/>
      <c r="C120" s="111"/>
      <c r="D120" s="111"/>
      <c r="E120" s="32"/>
      <c r="F120"/>
    </row>
    <row r="121" spans="1:6" s="33" customFormat="1" ht="15">
      <c r="A121" s="158"/>
      <c r="B121" s="148"/>
      <c r="C121" s="111"/>
      <c r="D121" s="111"/>
      <c r="E121" s="32"/>
      <c r="F121"/>
    </row>
    <row r="122" spans="1:6" s="33" customFormat="1" ht="15">
      <c r="A122" s="158"/>
      <c r="B122" s="148"/>
      <c r="C122" s="111"/>
      <c r="D122" s="111"/>
      <c r="E122" s="32"/>
      <c r="F122"/>
    </row>
    <row r="123" spans="1:6" s="33" customFormat="1" ht="15">
      <c r="A123" s="158"/>
      <c r="B123" s="148"/>
      <c r="C123" s="111"/>
      <c r="D123" s="111"/>
      <c r="E123" s="32"/>
      <c r="F123"/>
    </row>
    <row r="124" spans="1:6" s="33" customFormat="1" ht="15">
      <c r="A124" s="158"/>
      <c r="B124" s="148"/>
      <c r="C124" s="111"/>
      <c r="D124" s="111"/>
      <c r="E124" s="32"/>
      <c r="F124"/>
    </row>
    <row r="125" spans="1:6" s="33" customFormat="1" ht="15">
      <c r="A125" s="158"/>
      <c r="B125" s="148"/>
      <c r="C125" s="111"/>
      <c r="D125" s="111"/>
      <c r="E125" s="32"/>
      <c r="F125"/>
    </row>
    <row r="126" spans="1:6" s="33" customFormat="1" ht="15">
      <c r="A126" s="158"/>
      <c r="B126" s="148"/>
      <c r="C126" s="111"/>
      <c r="D126" s="111"/>
      <c r="E126" s="32"/>
      <c r="F126"/>
    </row>
    <row r="127" spans="1:6" s="33" customFormat="1" ht="15">
      <c r="A127" s="158"/>
      <c r="B127" s="148"/>
      <c r="C127" s="111"/>
      <c r="D127" s="111"/>
      <c r="E127" s="32"/>
      <c r="F127"/>
    </row>
    <row r="128" spans="1:6" s="33" customFormat="1" ht="15">
      <c r="A128" s="158"/>
      <c r="B128" s="148"/>
      <c r="C128" s="111"/>
      <c r="D128" s="111"/>
      <c r="E128" s="32"/>
      <c r="F128"/>
    </row>
    <row r="129" spans="1:6" s="33" customFormat="1" ht="15">
      <c r="A129" s="158"/>
      <c r="B129" s="148"/>
      <c r="C129" s="111"/>
      <c r="D129" s="111"/>
      <c r="E129" s="32"/>
      <c r="F129"/>
    </row>
    <row r="130" spans="1:6" s="33" customFormat="1" ht="15">
      <c r="A130" s="158"/>
      <c r="B130" s="148"/>
      <c r="C130" s="111"/>
      <c r="D130" s="111"/>
      <c r="E130" s="32"/>
      <c r="F130"/>
    </row>
    <row r="131" spans="1:6" s="33" customFormat="1" ht="15">
      <c r="A131" s="158"/>
      <c r="B131" s="148"/>
      <c r="C131" s="111"/>
      <c r="D131" s="111"/>
      <c r="E131" s="32"/>
      <c r="F131"/>
    </row>
    <row r="132" spans="1:6" s="33" customFormat="1" ht="15">
      <c r="A132" s="158"/>
      <c r="B132" s="148"/>
      <c r="C132" s="111"/>
      <c r="D132" s="111"/>
      <c r="E132" s="32"/>
      <c r="F132"/>
    </row>
    <row r="133" spans="1:6" s="33" customFormat="1" ht="15">
      <c r="A133" s="158"/>
      <c r="B133" s="148"/>
      <c r="C133" s="111"/>
      <c r="D133" s="111"/>
      <c r="E133" s="32"/>
      <c r="F133"/>
    </row>
    <row r="134" spans="1:6" s="33" customFormat="1" ht="15">
      <c r="A134" s="158"/>
      <c r="B134" s="148"/>
      <c r="C134" s="111"/>
      <c r="D134" s="111"/>
      <c r="E134" s="32"/>
      <c r="F134"/>
    </row>
    <row r="135" spans="1:6" s="33" customFormat="1" ht="15">
      <c r="A135" s="158"/>
      <c r="B135" s="148"/>
      <c r="C135" s="111"/>
      <c r="D135" s="111"/>
      <c r="E135" s="32"/>
      <c r="F135"/>
    </row>
    <row r="136" spans="1:6" s="33" customFormat="1" ht="15">
      <c r="A136" s="158"/>
      <c r="B136" s="148"/>
      <c r="C136" s="111"/>
      <c r="D136" s="111"/>
      <c r="E136" s="32"/>
      <c r="F136"/>
    </row>
    <row r="137" spans="1:6" s="33" customFormat="1" ht="15">
      <c r="A137" s="158"/>
      <c r="B137" s="148"/>
      <c r="C137" s="111"/>
      <c r="D137" s="111"/>
      <c r="E137" s="32"/>
      <c r="F137"/>
    </row>
    <row r="138" spans="1:6" s="33" customFormat="1" ht="15">
      <c r="A138" s="158"/>
      <c r="B138" s="148"/>
      <c r="C138" s="111"/>
      <c r="D138" s="111"/>
      <c r="E138" s="32"/>
      <c r="F138"/>
    </row>
    <row r="139" spans="1:6" s="33" customFormat="1" ht="15">
      <c r="A139" s="158"/>
      <c r="B139" s="148"/>
      <c r="C139" s="111"/>
      <c r="D139" s="111"/>
      <c r="E139" s="32"/>
      <c r="F139"/>
    </row>
    <row r="140" spans="1:6" s="33" customFormat="1" ht="15">
      <c r="A140" s="158"/>
      <c r="B140" s="148"/>
      <c r="C140" s="111"/>
      <c r="D140" s="111"/>
      <c r="E140" s="32"/>
      <c r="F140"/>
    </row>
    <row r="141" spans="1:6" s="33" customFormat="1" ht="15">
      <c r="A141" s="158"/>
      <c r="B141" s="148"/>
      <c r="C141" s="111"/>
      <c r="D141" s="111"/>
      <c r="E141" s="32"/>
      <c r="F141"/>
    </row>
    <row r="142" spans="1:6" s="33" customFormat="1" ht="15">
      <c r="A142" s="158"/>
      <c r="B142" s="148"/>
      <c r="C142" s="111"/>
      <c r="D142" s="111"/>
      <c r="E142" s="32"/>
      <c r="F142"/>
    </row>
    <row r="143" spans="1:6" s="33" customFormat="1" ht="15">
      <c r="A143" s="158"/>
      <c r="B143" s="148"/>
      <c r="C143" s="111"/>
      <c r="D143" s="111"/>
      <c r="E143" s="32"/>
      <c r="F143"/>
    </row>
    <row r="144" spans="1:6" s="33" customFormat="1" ht="15">
      <c r="A144" s="158"/>
      <c r="B144" s="148"/>
      <c r="C144" s="111"/>
      <c r="D144" s="111"/>
      <c r="E144" s="32"/>
      <c r="F144"/>
    </row>
    <row r="145" spans="1:6" s="33" customFormat="1" ht="15">
      <c r="A145" s="158"/>
      <c r="B145" s="148"/>
      <c r="C145" s="111"/>
      <c r="D145" s="111"/>
      <c r="E145" s="32"/>
      <c r="F145"/>
    </row>
    <row r="146" spans="1:6" s="33" customFormat="1" ht="15">
      <c r="A146" s="158"/>
      <c r="B146" s="148"/>
      <c r="C146" s="111"/>
      <c r="D146" s="111"/>
      <c r="E146" s="32"/>
      <c r="F146"/>
    </row>
    <row r="147" spans="1:6" s="33" customFormat="1" ht="15">
      <c r="A147" s="158"/>
      <c r="B147" s="148"/>
      <c r="C147" s="111"/>
      <c r="D147" s="111"/>
      <c r="E147" s="32"/>
      <c r="F147"/>
    </row>
    <row r="148" spans="1:6" s="33" customFormat="1" ht="15">
      <c r="A148" s="158"/>
      <c r="B148" s="148"/>
      <c r="C148" s="111"/>
      <c r="D148" s="111"/>
      <c r="E148" s="32"/>
      <c r="F148"/>
    </row>
    <row r="149" spans="1:6" s="33" customFormat="1" ht="15">
      <c r="A149" s="158"/>
      <c r="B149" s="148"/>
      <c r="C149" s="111"/>
      <c r="D149" s="111"/>
      <c r="E149" s="32"/>
      <c r="F149"/>
    </row>
    <row r="150" spans="1:6" s="33" customFormat="1" ht="15">
      <c r="A150" s="158"/>
      <c r="B150" s="148"/>
      <c r="C150" s="111"/>
      <c r="D150" s="111"/>
      <c r="E150" s="32"/>
      <c r="F150"/>
    </row>
    <row r="151" spans="1:6" s="33" customFormat="1" ht="15">
      <c r="A151" s="158"/>
      <c r="B151" s="148"/>
      <c r="C151" s="111"/>
      <c r="D151" s="111"/>
      <c r="E151" s="32"/>
      <c r="F151"/>
    </row>
    <row r="152" spans="1:6" s="33" customFormat="1" ht="15">
      <c r="A152" s="158"/>
      <c r="B152" s="148"/>
      <c r="C152" s="111"/>
      <c r="D152" s="111"/>
      <c r="E152" s="32"/>
      <c r="F152"/>
    </row>
    <row r="153" spans="1:6" s="33" customFormat="1" ht="15">
      <c r="A153" s="158"/>
      <c r="B153" s="148"/>
      <c r="C153" s="111"/>
      <c r="D153" s="111"/>
      <c r="E153" s="32"/>
      <c r="F153"/>
    </row>
    <row r="154" spans="1:6" s="33" customFormat="1" ht="15">
      <c r="A154" s="158"/>
      <c r="B154" s="148"/>
      <c r="C154" s="111"/>
      <c r="D154" s="111"/>
      <c r="E154" s="32"/>
      <c r="F154"/>
    </row>
    <row r="155" spans="1:6" s="33" customFormat="1" ht="15">
      <c r="A155" s="158"/>
      <c r="B155" s="148"/>
      <c r="C155" s="111"/>
      <c r="D155" s="111"/>
      <c r="E155" s="32"/>
      <c r="F155"/>
    </row>
    <row r="156" spans="1:6" s="33" customFormat="1" ht="15">
      <c r="A156" s="158"/>
      <c r="B156" s="148"/>
      <c r="C156" s="111"/>
      <c r="D156" s="111"/>
      <c r="E156" s="32"/>
      <c r="F156"/>
    </row>
    <row r="157" spans="1:6" s="33" customFormat="1" ht="15">
      <c r="A157" s="158"/>
      <c r="B157" s="148"/>
      <c r="C157" s="111"/>
      <c r="D157" s="111"/>
      <c r="E157" s="32"/>
      <c r="F157"/>
    </row>
    <row r="158" spans="1:6" s="33" customFormat="1" ht="15">
      <c r="A158" s="158"/>
      <c r="B158" s="148"/>
      <c r="C158" s="111"/>
      <c r="D158" s="111"/>
      <c r="E158" s="32"/>
      <c r="F158"/>
    </row>
    <row r="159" spans="1:6" s="33" customFormat="1" ht="15">
      <c r="A159" s="158"/>
      <c r="B159" s="148"/>
      <c r="C159" s="111"/>
      <c r="D159" s="111"/>
      <c r="E159" s="32"/>
      <c r="F159"/>
    </row>
    <row r="160" spans="1:6" s="33" customFormat="1" ht="15">
      <c r="A160" s="158"/>
      <c r="B160" s="148"/>
      <c r="C160" s="111"/>
      <c r="D160" s="111"/>
      <c r="E160" s="32"/>
      <c r="F160"/>
    </row>
    <row r="161" spans="1:6" s="33" customFormat="1" ht="15">
      <c r="A161" s="158"/>
      <c r="B161" s="148"/>
      <c r="C161" s="111"/>
      <c r="D161" s="111"/>
      <c r="E161" s="32"/>
      <c r="F161"/>
    </row>
    <row r="162" spans="1:6" s="33" customFormat="1" ht="15">
      <c r="A162" s="158"/>
      <c r="B162" s="148"/>
      <c r="C162" s="111"/>
      <c r="D162" s="111"/>
      <c r="E162" s="32"/>
      <c r="F162"/>
    </row>
    <row r="163" spans="1:6" s="33" customFormat="1" ht="15">
      <c r="A163" s="158"/>
      <c r="B163" s="148"/>
      <c r="C163" s="111"/>
      <c r="D163" s="111"/>
      <c r="E163" s="32"/>
      <c r="F163"/>
    </row>
    <row r="164" spans="1:6" s="33" customFormat="1" ht="15">
      <c r="A164" s="158"/>
      <c r="B164" s="148"/>
      <c r="C164" s="111"/>
      <c r="D164" s="111"/>
      <c r="E164" s="32"/>
      <c r="F164"/>
    </row>
    <row r="165" spans="1:6" s="33" customFormat="1" ht="15">
      <c r="A165" s="158"/>
      <c r="B165" s="148"/>
      <c r="C165" s="111"/>
      <c r="D165" s="111"/>
      <c r="E165" s="32"/>
      <c r="F165"/>
    </row>
    <row r="166" spans="1:6" s="33" customFormat="1" ht="15">
      <c r="A166" s="158"/>
      <c r="B166" s="148"/>
      <c r="C166" s="111"/>
      <c r="D166" s="111"/>
      <c r="E166" s="32"/>
      <c r="F166"/>
    </row>
    <row r="167" spans="1:6" s="33" customFormat="1" ht="15">
      <c r="A167" s="158"/>
      <c r="B167" s="148"/>
      <c r="C167" s="111"/>
      <c r="D167" s="111"/>
      <c r="E167" s="32"/>
      <c r="F167"/>
    </row>
    <row r="168" spans="1:6" s="33" customFormat="1" ht="15">
      <c r="A168" s="158"/>
      <c r="B168" s="148"/>
      <c r="C168" s="111"/>
      <c r="D168" s="111"/>
      <c r="E168" s="32"/>
      <c r="F168"/>
    </row>
    <row r="169" spans="1:6" s="33" customFormat="1" ht="15">
      <c r="A169" s="158"/>
      <c r="B169" s="148"/>
      <c r="C169" s="111"/>
      <c r="D169" s="111"/>
      <c r="E169" s="32"/>
      <c r="F169"/>
    </row>
    <row r="170" spans="1:6" s="33" customFormat="1" ht="15">
      <c r="A170" s="158"/>
      <c r="B170" s="148"/>
      <c r="C170" s="111"/>
      <c r="D170" s="111"/>
      <c r="E170" s="32"/>
      <c r="F170"/>
    </row>
    <row r="171" spans="1:6" s="33" customFormat="1" ht="15">
      <c r="A171" s="158"/>
      <c r="B171" s="148"/>
      <c r="C171" s="111"/>
      <c r="D171" s="111"/>
      <c r="E171" s="32"/>
      <c r="F171"/>
    </row>
    <row r="172" spans="1:6" s="33" customFormat="1" ht="15">
      <c r="A172" s="158"/>
      <c r="B172" s="148"/>
      <c r="C172" s="111"/>
      <c r="D172" s="111"/>
      <c r="E172" s="32"/>
      <c r="F172"/>
    </row>
    <row r="173" spans="1:6" s="33" customFormat="1" ht="15">
      <c r="A173" s="158"/>
      <c r="B173" s="148"/>
      <c r="C173" s="111"/>
      <c r="D173" s="111"/>
      <c r="E173" s="32"/>
      <c r="F173"/>
    </row>
    <row r="174" spans="1:6" s="33" customFormat="1" ht="15">
      <c r="A174" s="158"/>
      <c r="B174" s="148"/>
      <c r="C174" s="111"/>
      <c r="D174" s="111"/>
      <c r="E174" s="32"/>
      <c r="F174"/>
    </row>
    <row r="175" spans="1:6" s="33" customFormat="1" ht="15">
      <c r="A175" s="158"/>
      <c r="B175" s="148"/>
      <c r="C175" s="111"/>
      <c r="D175" s="111"/>
      <c r="E175" s="32"/>
      <c r="F175"/>
    </row>
    <row r="176" spans="1:6" s="33" customFormat="1" ht="15">
      <c r="A176" s="158"/>
      <c r="B176" s="148"/>
      <c r="C176" s="111"/>
      <c r="D176" s="111"/>
      <c r="E176" s="32"/>
      <c r="F176"/>
    </row>
    <row r="177" spans="1:6" s="33" customFormat="1" ht="15">
      <c r="A177" s="158"/>
      <c r="B177" s="148"/>
      <c r="C177" s="111"/>
      <c r="D177" s="111"/>
      <c r="E177" s="32"/>
      <c r="F177"/>
    </row>
    <row r="178" spans="1:6" s="33" customFormat="1" ht="15">
      <c r="A178" s="158"/>
      <c r="B178" s="148"/>
      <c r="C178" s="111"/>
      <c r="D178" s="111"/>
      <c r="E178" s="32"/>
      <c r="F178"/>
    </row>
    <row r="179" spans="1:6" s="33" customFormat="1" ht="15">
      <c r="A179" s="158"/>
      <c r="B179" s="148"/>
      <c r="C179" s="111"/>
      <c r="D179" s="111"/>
      <c r="E179" s="32"/>
      <c r="F179"/>
    </row>
    <row r="180" spans="1:6" s="33" customFormat="1" ht="15">
      <c r="A180" s="158"/>
      <c r="B180" s="148"/>
      <c r="C180" s="111"/>
      <c r="D180" s="111"/>
      <c r="E180" s="32"/>
      <c r="F180"/>
    </row>
    <row r="181" spans="1:6" s="33" customFormat="1" ht="15">
      <c r="A181" s="158"/>
      <c r="B181" s="148"/>
      <c r="C181" s="111"/>
      <c r="D181" s="111"/>
      <c r="E181" s="32"/>
      <c r="F181"/>
    </row>
    <row r="182" spans="1:6" s="33" customFormat="1" ht="15">
      <c r="A182" s="158"/>
      <c r="B182" s="148"/>
      <c r="C182" s="111"/>
      <c r="D182" s="111"/>
      <c r="E182" s="32"/>
      <c r="F182"/>
    </row>
    <row r="183" spans="1:6" s="33" customFormat="1" ht="15">
      <c r="A183" s="158"/>
      <c r="B183" s="148"/>
      <c r="C183" s="111"/>
      <c r="D183" s="111"/>
      <c r="E183" s="32"/>
      <c r="F183"/>
    </row>
    <row r="184" spans="1:6" s="33" customFormat="1" ht="15">
      <c r="A184" s="158"/>
      <c r="B184" s="148"/>
      <c r="C184" s="111"/>
      <c r="D184" s="111"/>
      <c r="E184" s="32"/>
      <c r="F184"/>
    </row>
    <row r="185" spans="1:6" s="33" customFormat="1" ht="15">
      <c r="A185" s="158"/>
      <c r="B185" s="148"/>
      <c r="C185" s="111"/>
      <c r="D185" s="111"/>
      <c r="E185" s="32"/>
      <c r="F185"/>
    </row>
    <row r="186" spans="1:6" s="33" customFormat="1" ht="15">
      <c r="A186" s="158"/>
      <c r="B186" s="148"/>
      <c r="C186" s="111"/>
      <c r="D186" s="111"/>
      <c r="E186" s="32"/>
      <c r="F186"/>
    </row>
    <row r="187" spans="1:6" s="33" customFormat="1" ht="15">
      <c r="A187" s="158"/>
      <c r="B187" s="148"/>
      <c r="C187" s="111"/>
      <c r="D187" s="111"/>
      <c r="E187" s="32"/>
      <c r="F187"/>
    </row>
    <row r="188" spans="1:6" s="33" customFormat="1" ht="15">
      <c r="A188" s="158"/>
      <c r="B188" s="148"/>
      <c r="C188" s="111"/>
      <c r="D188" s="111"/>
      <c r="E188" s="32"/>
      <c r="F188"/>
    </row>
    <row r="189" spans="1:6" s="33" customFormat="1" ht="15">
      <c r="A189" s="158"/>
      <c r="B189" s="148"/>
      <c r="C189" s="111"/>
      <c r="D189" s="111"/>
      <c r="E189" s="32"/>
      <c r="F189"/>
    </row>
    <row r="190" spans="1:6" s="33" customFormat="1" ht="15">
      <c r="A190" s="158"/>
      <c r="B190" s="148"/>
      <c r="C190" s="111"/>
      <c r="D190" s="111"/>
      <c r="E190" s="32"/>
      <c r="F190"/>
    </row>
    <row r="191" spans="1:6" s="33" customFormat="1" ht="15">
      <c r="A191" s="158"/>
      <c r="B191" s="148"/>
      <c r="C191" s="111"/>
      <c r="D191" s="111"/>
      <c r="E191" s="32"/>
      <c r="F191"/>
    </row>
    <row r="192" spans="1:6" s="33" customFormat="1" ht="15">
      <c r="A192" s="158"/>
      <c r="B192" s="148"/>
      <c r="C192" s="111"/>
      <c r="D192" s="111"/>
      <c r="E192" s="32"/>
      <c r="F192"/>
    </row>
    <row r="193" spans="1:6" s="33" customFormat="1" ht="15">
      <c r="A193" s="158"/>
      <c r="B193" s="148"/>
      <c r="C193" s="111"/>
      <c r="D193" s="111"/>
      <c r="E193" s="32"/>
      <c r="F193"/>
    </row>
    <row r="194" spans="1:6" s="33" customFormat="1" ht="15">
      <c r="A194" s="158"/>
      <c r="B194" s="148"/>
      <c r="C194" s="111"/>
      <c r="D194" s="111"/>
      <c r="E194" s="32"/>
      <c r="F194"/>
    </row>
    <row r="195" spans="1:6" s="33" customFormat="1" ht="15">
      <c r="A195" s="158"/>
      <c r="B195" s="148"/>
      <c r="C195" s="111"/>
      <c r="D195" s="111"/>
      <c r="E195" s="32"/>
      <c r="F195"/>
    </row>
    <row r="196" spans="1:6" s="33" customFormat="1" ht="15">
      <c r="A196" s="158"/>
      <c r="B196" s="148"/>
      <c r="C196" s="111"/>
      <c r="D196" s="111"/>
      <c r="E196" s="32"/>
      <c r="F196"/>
    </row>
    <row r="197" spans="1:6" s="33" customFormat="1" ht="15">
      <c r="A197" s="158"/>
      <c r="B197" s="148"/>
      <c r="C197" s="111"/>
      <c r="D197" s="111"/>
      <c r="E197" s="32"/>
      <c r="F197"/>
    </row>
    <row r="198" spans="1:6" s="33" customFormat="1" ht="15">
      <c r="A198" s="158"/>
      <c r="B198" s="148"/>
      <c r="C198" s="111"/>
      <c r="D198" s="111"/>
      <c r="E198" s="32"/>
      <c r="F198"/>
    </row>
    <row r="199" spans="1:6" s="33" customFormat="1" ht="15">
      <c r="A199" s="158"/>
      <c r="B199" s="148"/>
      <c r="C199" s="111"/>
      <c r="D199" s="111"/>
      <c r="E199" s="32"/>
      <c r="F199"/>
    </row>
    <row r="200" spans="1:6" s="33" customFormat="1" ht="15">
      <c r="A200" s="158"/>
      <c r="B200" s="148"/>
      <c r="C200" s="111"/>
      <c r="D200" s="111"/>
      <c r="E200" s="32"/>
      <c r="F200"/>
    </row>
    <row r="201" spans="1:6" s="33" customFormat="1" ht="15">
      <c r="A201" s="158"/>
      <c r="B201" s="148"/>
      <c r="C201" s="111"/>
      <c r="D201" s="111"/>
      <c r="E201" s="32"/>
      <c r="F201"/>
    </row>
    <row r="202" spans="1:6" s="33" customFormat="1" ht="15">
      <c r="A202" s="158"/>
      <c r="B202" s="148"/>
      <c r="C202" s="111"/>
      <c r="D202" s="111"/>
      <c r="E202" s="32"/>
      <c r="F202"/>
    </row>
    <row r="203" spans="1:6" s="33" customFormat="1" ht="15">
      <c r="A203" s="158"/>
      <c r="B203" s="148"/>
      <c r="C203" s="111"/>
      <c r="D203" s="111"/>
      <c r="E203" s="32"/>
      <c r="F203"/>
    </row>
    <row r="204" spans="1:6" s="33" customFormat="1" ht="15">
      <c r="A204" s="158"/>
      <c r="B204" s="148"/>
      <c r="C204" s="111"/>
      <c r="D204" s="111"/>
      <c r="E204" s="32"/>
      <c r="F204"/>
    </row>
    <row r="205" spans="1:6" s="33" customFormat="1" ht="15">
      <c r="A205" s="158"/>
      <c r="B205" s="148"/>
      <c r="C205" s="111"/>
      <c r="D205" s="111"/>
      <c r="E205" s="32"/>
      <c r="F205"/>
    </row>
    <row r="206" spans="1:6" s="33" customFormat="1" ht="15">
      <c r="A206" s="158"/>
      <c r="B206" s="148"/>
      <c r="C206" s="111"/>
      <c r="D206" s="111"/>
      <c r="E206" s="32"/>
      <c r="F206"/>
    </row>
    <row r="207" spans="1:6" s="33" customFormat="1" ht="15">
      <c r="A207" s="158"/>
      <c r="B207" s="148"/>
      <c r="C207" s="111"/>
      <c r="D207" s="111"/>
      <c r="E207" s="32"/>
      <c r="F207"/>
    </row>
    <row r="208" spans="1:6" s="33" customFormat="1" ht="15">
      <c r="A208" s="158"/>
      <c r="B208" s="148"/>
      <c r="C208" s="111"/>
      <c r="D208" s="111"/>
      <c r="E208" s="32"/>
      <c r="F208"/>
    </row>
    <row r="209" spans="1:6" s="33" customFormat="1" ht="15">
      <c r="A209" s="158"/>
      <c r="B209" s="148"/>
      <c r="C209" s="111"/>
      <c r="D209" s="111"/>
      <c r="E209" s="32"/>
      <c r="F209"/>
    </row>
    <row r="210" spans="1:6" s="33" customFormat="1" ht="15">
      <c r="A210" s="158"/>
      <c r="B210" s="148"/>
      <c r="C210" s="111"/>
      <c r="D210" s="111"/>
      <c r="E210" s="32"/>
      <c r="F210"/>
    </row>
    <row r="211" spans="1:6" s="33" customFormat="1" ht="15">
      <c r="A211" s="158"/>
      <c r="B211" s="148"/>
      <c r="C211" s="111"/>
      <c r="D211" s="111"/>
      <c r="E211" s="32"/>
      <c r="F211"/>
    </row>
    <row r="212" spans="1:6" s="33" customFormat="1" ht="15">
      <c r="A212" s="158"/>
      <c r="B212" s="148"/>
      <c r="C212" s="111"/>
      <c r="D212" s="111"/>
      <c r="E212" s="32"/>
      <c r="F212"/>
    </row>
    <row r="213" spans="1:6" s="33" customFormat="1" ht="15">
      <c r="A213" s="158"/>
      <c r="B213" s="148"/>
      <c r="C213" s="111"/>
      <c r="D213" s="111"/>
      <c r="E213" s="32"/>
      <c r="F213"/>
    </row>
    <row r="214" spans="1:6" s="33" customFormat="1" ht="15">
      <c r="A214" s="158"/>
      <c r="B214" s="148"/>
      <c r="C214" s="111"/>
      <c r="D214" s="111"/>
      <c r="E214" s="32"/>
      <c r="F214"/>
    </row>
    <row r="215" spans="1:6" s="33" customFormat="1" ht="15">
      <c r="A215" s="158"/>
      <c r="B215" s="148"/>
      <c r="C215" s="111"/>
      <c r="D215" s="111"/>
      <c r="E215" s="32"/>
      <c r="F215"/>
    </row>
    <row r="216" spans="1:6" s="33" customFormat="1" ht="15">
      <c r="A216" s="158"/>
      <c r="B216" s="148"/>
      <c r="C216" s="111"/>
      <c r="D216" s="111"/>
      <c r="E216" s="32"/>
      <c r="F216"/>
    </row>
    <row r="217" spans="1:6" s="33" customFormat="1" ht="15">
      <c r="A217" s="158"/>
      <c r="B217" s="148"/>
      <c r="C217" s="111"/>
      <c r="D217" s="111"/>
      <c r="E217" s="32"/>
      <c r="F217"/>
    </row>
    <row r="218" spans="1:6" s="33" customFormat="1" ht="15">
      <c r="A218" s="158"/>
      <c r="B218" s="148"/>
      <c r="C218" s="111"/>
      <c r="D218" s="111"/>
      <c r="E218" s="32"/>
      <c r="F218"/>
    </row>
    <row r="219" spans="1:6" s="33" customFormat="1" ht="15">
      <c r="A219" s="158"/>
      <c r="B219" s="148"/>
      <c r="C219" s="111"/>
      <c r="D219" s="111"/>
      <c r="E219" s="32"/>
      <c r="F219"/>
    </row>
    <row r="220" spans="1:6" s="33" customFormat="1" ht="15">
      <c r="A220" s="158"/>
      <c r="B220" s="148"/>
      <c r="C220" s="111"/>
      <c r="D220" s="111"/>
      <c r="E220" s="32"/>
      <c r="F220"/>
    </row>
    <row r="221" spans="1:6" s="33" customFormat="1" ht="15">
      <c r="A221" s="158"/>
      <c r="B221" s="148"/>
      <c r="C221" s="111"/>
      <c r="D221" s="111"/>
      <c r="E221" s="32"/>
      <c r="F221"/>
    </row>
    <row r="222" spans="1:6" s="33" customFormat="1" ht="15">
      <c r="A222" s="158"/>
      <c r="B222" s="148"/>
      <c r="C222" s="111"/>
      <c r="D222" s="111"/>
      <c r="E222" s="32"/>
      <c r="F222"/>
    </row>
    <row r="223" spans="1:6" s="33" customFormat="1" ht="15">
      <c r="A223" s="158"/>
      <c r="B223" s="148"/>
      <c r="C223" s="111"/>
      <c r="D223" s="111"/>
      <c r="E223" s="32"/>
      <c r="F223"/>
    </row>
    <row r="224" spans="1:6" s="33" customFormat="1" ht="15">
      <c r="A224" s="158"/>
      <c r="B224" s="148"/>
      <c r="C224" s="111"/>
      <c r="D224" s="111"/>
      <c r="E224" s="32"/>
      <c r="F224"/>
    </row>
    <row r="225" spans="1:6" s="33" customFormat="1" ht="15">
      <c r="A225" s="158"/>
      <c r="B225" s="148"/>
      <c r="C225" s="111"/>
      <c r="D225" s="111"/>
      <c r="E225" s="32"/>
      <c r="F225"/>
    </row>
    <row r="226" spans="1:6" s="33" customFormat="1" ht="15">
      <c r="A226" s="158"/>
      <c r="B226" s="148"/>
      <c r="C226" s="111"/>
      <c r="D226" s="111"/>
      <c r="E226" s="32"/>
      <c r="F226"/>
    </row>
    <row r="227" spans="1:6" s="33" customFormat="1" ht="15">
      <c r="A227" s="158"/>
      <c r="B227" s="148"/>
      <c r="C227" s="111"/>
      <c r="D227" s="111"/>
      <c r="E227" s="32"/>
      <c r="F227"/>
    </row>
    <row r="228" spans="1:6" s="33" customFormat="1" ht="15">
      <c r="A228" s="158"/>
      <c r="B228" s="148"/>
      <c r="C228" s="111"/>
      <c r="D228" s="111"/>
      <c r="E228" s="32"/>
      <c r="F228"/>
    </row>
    <row r="229" spans="1:6" s="33" customFormat="1" ht="15">
      <c r="A229" s="158"/>
      <c r="B229" s="148"/>
      <c r="C229" s="111"/>
      <c r="D229" s="111"/>
      <c r="E229" s="32"/>
      <c r="F229"/>
    </row>
    <row r="230" spans="1:6" s="33" customFormat="1" ht="15">
      <c r="A230" s="158"/>
      <c r="B230" s="148"/>
      <c r="C230" s="111"/>
      <c r="D230" s="111"/>
      <c r="E230" s="32"/>
      <c r="F230"/>
    </row>
    <row r="231" spans="1:6" s="33" customFormat="1" ht="15">
      <c r="A231" s="158"/>
      <c r="B231" s="148"/>
      <c r="C231" s="111"/>
      <c r="D231" s="111"/>
      <c r="E231" s="32"/>
      <c r="F231"/>
    </row>
    <row r="232" spans="1:6" s="33" customFormat="1" ht="15">
      <c r="A232" s="158"/>
      <c r="B232" s="148"/>
      <c r="C232" s="111"/>
      <c r="D232" s="111"/>
      <c r="E232" s="32"/>
      <c r="F232"/>
    </row>
    <row r="233" spans="1:6" s="33" customFormat="1" ht="15">
      <c r="A233" s="158"/>
      <c r="B233" s="148"/>
      <c r="C233" s="111"/>
      <c r="D233" s="111"/>
      <c r="E233" s="32"/>
      <c r="F233"/>
    </row>
    <row r="234" spans="1:6" s="33" customFormat="1" ht="15">
      <c r="A234" s="158"/>
      <c r="B234" s="148"/>
      <c r="C234" s="111"/>
      <c r="D234" s="111"/>
      <c r="E234" s="32"/>
      <c r="F234"/>
    </row>
    <row r="235" spans="1:6" s="33" customFormat="1" ht="15">
      <c r="A235" s="158"/>
      <c r="B235" s="148"/>
      <c r="C235" s="111"/>
      <c r="D235" s="111"/>
      <c r="E235" s="32"/>
      <c r="F235"/>
    </row>
    <row r="236" spans="1:6" s="33" customFormat="1" ht="15">
      <c r="A236" s="158"/>
      <c r="B236" s="148"/>
      <c r="C236" s="111"/>
      <c r="D236" s="111"/>
      <c r="E236" s="32"/>
      <c r="F236"/>
    </row>
    <row r="237" spans="1:6" s="33" customFormat="1" ht="15">
      <c r="A237" s="158"/>
      <c r="B237" s="148"/>
      <c r="C237" s="111"/>
      <c r="D237" s="111"/>
      <c r="E237" s="32"/>
      <c r="F237"/>
    </row>
    <row r="238" spans="1:6" s="33" customFormat="1" ht="15">
      <c r="A238" s="158"/>
      <c r="B238" s="148"/>
      <c r="C238" s="111"/>
      <c r="D238" s="111"/>
      <c r="E238" s="32"/>
      <c r="F238"/>
    </row>
    <row r="239" spans="1:6" s="33" customFormat="1" ht="15">
      <c r="A239" s="158"/>
      <c r="B239" s="148"/>
      <c r="C239" s="111"/>
      <c r="D239" s="111"/>
      <c r="E239" s="32"/>
      <c r="F239"/>
    </row>
    <row r="240" spans="1:6" s="33" customFormat="1" ht="15">
      <c r="A240" s="158"/>
      <c r="B240" s="148"/>
      <c r="C240" s="111"/>
      <c r="D240" s="111"/>
      <c r="E240" s="32"/>
      <c r="F240"/>
    </row>
    <row r="241" spans="1:6" s="33" customFormat="1" ht="15">
      <c r="A241" s="158"/>
      <c r="B241" s="148"/>
      <c r="C241" s="111"/>
      <c r="D241" s="111"/>
      <c r="E241" s="32"/>
      <c r="F241"/>
    </row>
    <row r="242" spans="1:6" s="33" customFormat="1" ht="15">
      <c r="A242" s="158"/>
      <c r="B242" s="148"/>
      <c r="C242" s="111"/>
      <c r="D242" s="111"/>
      <c r="E242" s="32"/>
      <c r="F242"/>
    </row>
    <row r="243" spans="1:6" s="33" customFormat="1" ht="15">
      <c r="A243" s="158"/>
      <c r="B243" s="148"/>
      <c r="C243" s="111"/>
      <c r="D243" s="111"/>
      <c r="E243" s="32"/>
      <c r="F243"/>
    </row>
    <row r="244" spans="1:6" s="33" customFormat="1" ht="15">
      <c r="A244" s="158"/>
      <c r="B244" s="148"/>
      <c r="C244" s="111"/>
      <c r="D244" s="111"/>
      <c r="E244" s="32"/>
      <c r="F244"/>
    </row>
    <row r="245" spans="1:6" s="33" customFormat="1" ht="15">
      <c r="A245" s="158"/>
      <c r="B245" s="148"/>
      <c r="C245" s="111"/>
      <c r="D245" s="111"/>
      <c r="E245" s="32"/>
      <c r="F245"/>
    </row>
    <row r="246" spans="1:6" s="33" customFormat="1" ht="15">
      <c r="A246" s="158"/>
      <c r="B246" s="148"/>
      <c r="C246" s="111"/>
      <c r="D246" s="111"/>
      <c r="E246" s="32"/>
      <c r="F246"/>
    </row>
    <row r="247" spans="1:6" s="33" customFormat="1" ht="15">
      <c r="A247" s="158"/>
      <c r="B247" s="148"/>
      <c r="C247" s="111"/>
      <c r="D247" s="111"/>
      <c r="E247" s="32"/>
      <c r="F247"/>
    </row>
    <row r="248" spans="1:6" s="33" customFormat="1" ht="15">
      <c r="A248" s="158"/>
      <c r="B248" s="148"/>
      <c r="C248" s="111"/>
      <c r="D248" s="111"/>
      <c r="E248" s="32"/>
      <c r="F248"/>
    </row>
    <row r="249" spans="1:6" s="33" customFormat="1" ht="15">
      <c r="A249" s="158"/>
      <c r="B249" s="148"/>
      <c r="C249" s="111"/>
      <c r="D249" s="111"/>
      <c r="E249" s="32"/>
      <c r="F249"/>
    </row>
    <row r="250" spans="1:6" s="33" customFormat="1" ht="15">
      <c r="A250" s="158"/>
      <c r="B250" s="148"/>
      <c r="C250" s="111"/>
      <c r="D250" s="111"/>
      <c r="E250" s="32"/>
      <c r="F250"/>
    </row>
    <row r="251" spans="1:6" s="33" customFormat="1" ht="15">
      <c r="A251" s="158"/>
      <c r="B251" s="148"/>
      <c r="C251" s="111"/>
      <c r="D251" s="111"/>
      <c r="E251" s="32"/>
      <c r="F251"/>
    </row>
    <row r="252" spans="1:6" s="33" customFormat="1" ht="15">
      <c r="A252" s="158"/>
      <c r="B252" s="148"/>
      <c r="C252" s="111"/>
      <c r="D252" s="111"/>
      <c r="E252" s="32"/>
      <c r="F252"/>
    </row>
    <row r="253" spans="1:6" s="33" customFormat="1" ht="15">
      <c r="A253" s="158"/>
      <c r="B253" s="148"/>
      <c r="C253" s="111"/>
      <c r="D253" s="111"/>
      <c r="E253" s="32"/>
      <c r="F253"/>
    </row>
    <row r="254" spans="1:6" s="33" customFormat="1" ht="15">
      <c r="A254" s="158"/>
      <c r="B254" s="148"/>
      <c r="C254" s="111"/>
      <c r="D254" s="111"/>
      <c r="E254" s="32"/>
      <c r="F254"/>
    </row>
    <row r="255" spans="1:6" s="33" customFormat="1" ht="15">
      <c r="A255" s="158"/>
      <c r="B255" s="148"/>
      <c r="C255" s="111"/>
      <c r="D255" s="111"/>
      <c r="E255" s="32"/>
      <c r="F255"/>
    </row>
    <row r="256" spans="1:6" s="33" customFormat="1" ht="15">
      <c r="A256" s="158"/>
      <c r="B256" s="148"/>
      <c r="C256" s="111"/>
      <c r="D256" s="111"/>
      <c r="E256" s="32"/>
      <c r="F256"/>
    </row>
    <row r="257" spans="1:6" s="33" customFormat="1" ht="15">
      <c r="A257" s="158"/>
      <c r="B257" s="148"/>
      <c r="C257" s="111"/>
      <c r="D257" s="111"/>
      <c r="E257" s="32"/>
      <c r="F257"/>
    </row>
    <row r="258" spans="1:6" s="33" customFormat="1" ht="15">
      <c r="A258" s="158"/>
      <c r="B258" s="148"/>
      <c r="C258" s="111"/>
      <c r="D258" s="111"/>
      <c r="E258" s="32"/>
      <c r="F258"/>
    </row>
    <row r="259" spans="1:6" s="33" customFormat="1" ht="15">
      <c r="A259" s="158"/>
      <c r="B259" s="148"/>
      <c r="C259" s="111"/>
      <c r="D259" s="111"/>
      <c r="E259" s="32"/>
      <c r="F259"/>
    </row>
    <row r="260" spans="1:6" s="33" customFormat="1" ht="15">
      <c r="A260" s="158"/>
      <c r="B260" s="148"/>
      <c r="C260" s="111"/>
      <c r="D260" s="111"/>
      <c r="E260" s="32"/>
      <c r="F260"/>
    </row>
    <row r="261" spans="1:6" s="33" customFormat="1" ht="15">
      <c r="A261" s="158"/>
      <c r="B261" s="148"/>
      <c r="C261" s="111"/>
      <c r="D261" s="111"/>
      <c r="E261" s="32"/>
      <c r="F261"/>
    </row>
    <row r="262" spans="1:6" s="33" customFormat="1" ht="15">
      <c r="A262" s="158"/>
      <c r="B262" s="148"/>
      <c r="C262" s="111"/>
      <c r="D262" s="111"/>
      <c r="E262" s="32"/>
      <c r="F262"/>
    </row>
    <row r="263" spans="1:6" s="33" customFormat="1" ht="15">
      <c r="A263" s="158"/>
      <c r="B263" s="148"/>
      <c r="C263" s="111"/>
      <c r="D263" s="111"/>
      <c r="E263" s="32"/>
      <c r="F263"/>
    </row>
    <row r="264" spans="1:6" s="33" customFormat="1" ht="15">
      <c r="A264" s="158"/>
      <c r="B264" s="148"/>
      <c r="C264" s="111"/>
      <c r="D264" s="111"/>
      <c r="E264" s="32"/>
      <c r="F264"/>
    </row>
    <row r="265" spans="1:6" s="33" customFormat="1" ht="15">
      <c r="A265" s="158"/>
      <c r="B265" s="148"/>
      <c r="C265" s="111"/>
      <c r="D265" s="111"/>
      <c r="E265" s="32"/>
      <c r="F265"/>
    </row>
    <row r="266" spans="1:6" s="33" customFormat="1" ht="15">
      <c r="A266" s="158"/>
      <c r="B266" s="148"/>
      <c r="C266" s="111"/>
      <c r="D266" s="111"/>
      <c r="E266" s="32"/>
      <c r="F266"/>
    </row>
    <row r="267" spans="1:6" s="33" customFormat="1" ht="15">
      <c r="A267" s="158"/>
      <c r="B267" s="148"/>
      <c r="C267" s="111"/>
      <c r="D267" s="111"/>
      <c r="E267" s="32"/>
      <c r="F267"/>
    </row>
    <row r="268" spans="1:6" s="33" customFormat="1" ht="15">
      <c r="A268" s="158"/>
      <c r="B268" s="148"/>
      <c r="C268" s="111"/>
      <c r="D268" s="111"/>
      <c r="E268" s="32"/>
      <c r="F268"/>
    </row>
    <row r="269" spans="1:6" s="33" customFormat="1" ht="15">
      <c r="A269" s="158"/>
      <c r="B269" s="148"/>
      <c r="C269" s="111"/>
      <c r="D269" s="111"/>
      <c r="E269" s="32"/>
      <c r="F269"/>
    </row>
    <row r="270" spans="1:6" s="33" customFormat="1" ht="15">
      <c r="A270" s="158"/>
      <c r="B270" s="148"/>
      <c r="C270" s="111"/>
      <c r="D270" s="111"/>
      <c r="E270" s="32"/>
      <c r="F270"/>
    </row>
    <row r="271" spans="1:6" s="33" customFormat="1" ht="15">
      <c r="A271" s="158"/>
      <c r="B271" s="148"/>
      <c r="C271" s="111"/>
      <c r="D271" s="111"/>
      <c r="E271" s="32"/>
      <c r="F271"/>
    </row>
    <row r="272" spans="1:6" s="33" customFormat="1" ht="15">
      <c r="A272" s="158"/>
      <c r="B272" s="148"/>
      <c r="C272" s="111"/>
      <c r="D272" s="111"/>
      <c r="E272" s="32"/>
      <c r="F272"/>
    </row>
    <row r="273" spans="1:6" s="33" customFormat="1" ht="15">
      <c r="A273" s="158"/>
      <c r="B273" s="148"/>
      <c r="C273" s="111"/>
      <c r="D273" s="111"/>
      <c r="E273" s="32"/>
      <c r="F273"/>
    </row>
    <row r="274" spans="1:6" s="33" customFormat="1" ht="15">
      <c r="A274" s="158"/>
      <c r="B274" s="148"/>
      <c r="C274" s="111"/>
      <c r="D274" s="111"/>
      <c r="E274" s="32"/>
      <c r="F274"/>
    </row>
    <row r="275" spans="1:6" s="33" customFormat="1" ht="15">
      <c r="A275" s="158"/>
      <c r="B275" s="148"/>
      <c r="C275" s="111"/>
      <c r="D275" s="111"/>
      <c r="E275" s="32"/>
      <c r="F275"/>
    </row>
    <row r="276" spans="1:6" s="33" customFormat="1" ht="15">
      <c r="A276" s="158"/>
      <c r="B276" s="148"/>
      <c r="C276" s="111"/>
      <c r="D276" s="111"/>
      <c r="E276" s="32"/>
      <c r="F276"/>
    </row>
    <row r="277" spans="1:6" s="33" customFormat="1" ht="15">
      <c r="A277" s="158"/>
      <c r="B277" s="148"/>
      <c r="C277" s="111"/>
      <c r="D277" s="111"/>
      <c r="E277" s="32"/>
      <c r="F277"/>
    </row>
    <row r="278" spans="1:6" s="33" customFormat="1" ht="15">
      <c r="A278" s="158"/>
      <c r="B278" s="148"/>
      <c r="C278" s="111"/>
      <c r="D278" s="111"/>
      <c r="E278" s="32"/>
      <c r="F278"/>
    </row>
    <row r="279" spans="1:6" s="33" customFormat="1" ht="15">
      <c r="A279" s="158"/>
      <c r="B279" s="148"/>
      <c r="C279" s="111"/>
      <c r="D279" s="111"/>
      <c r="E279" s="32"/>
      <c r="F279"/>
    </row>
    <row r="280" spans="1:6" s="33" customFormat="1" ht="15">
      <c r="A280" s="158"/>
      <c r="B280" s="148"/>
      <c r="C280" s="111"/>
      <c r="D280" s="111"/>
      <c r="E280" s="32"/>
      <c r="F280"/>
    </row>
    <row r="281" spans="1:6" s="33" customFormat="1" ht="15">
      <c r="A281" s="158"/>
      <c r="B281" s="148"/>
      <c r="C281" s="111"/>
      <c r="D281" s="111"/>
      <c r="E281" s="32"/>
      <c r="F281"/>
    </row>
    <row r="282" spans="1:6" s="33" customFormat="1" ht="15">
      <c r="A282" s="158"/>
      <c r="B282" s="148"/>
      <c r="C282" s="111"/>
      <c r="D282" s="111"/>
      <c r="E282" s="32"/>
      <c r="F282"/>
    </row>
    <row r="283" spans="1:6" s="33" customFormat="1" ht="15">
      <c r="A283" s="158"/>
      <c r="B283" s="148"/>
      <c r="C283" s="111"/>
      <c r="D283" s="111"/>
      <c r="E283" s="32"/>
      <c r="F283"/>
    </row>
    <row r="284" spans="1:6" s="33" customFormat="1" ht="15">
      <c r="A284" s="158"/>
      <c r="B284" s="148"/>
      <c r="C284" s="111"/>
      <c r="D284" s="111"/>
      <c r="E284" s="32"/>
      <c r="F284"/>
    </row>
    <row r="285" spans="1:6" s="33" customFormat="1" ht="15">
      <c r="A285" s="158"/>
      <c r="B285" s="148"/>
      <c r="C285" s="111"/>
      <c r="D285" s="111"/>
      <c r="E285" s="32"/>
      <c r="F285"/>
    </row>
    <row r="286" spans="1:6" s="33" customFormat="1" ht="15">
      <c r="A286" s="158"/>
      <c r="B286" s="148"/>
      <c r="C286" s="111"/>
      <c r="D286" s="111"/>
      <c r="E286" s="32"/>
      <c r="F286"/>
    </row>
    <row r="287" spans="1:6" s="33" customFormat="1" ht="15">
      <c r="A287" s="158"/>
      <c r="B287" s="148"/>
      <c r="C287" s="111"/>
      <c r="D287" s="111"/>
      <c r="E287" s="32"/>
      <c r="F287"/>
    </row>
    <row r="288" spans="1:6" s="33" customFormat="1" ht="15">
      <c r="A288" s="158"/>
      <c r="B288" s="148"/>
      <c r="C288" s="111"/>
      <c r="D288" s="111"/>
      <c r="E288" s="32"/>
      <c r="F288"/>
    </row>
    <row r="289" spans="1:6" s="33" customFormat="1" ht="15">
      <c r="A289" s="158"/>
      <c r="B289" s="148"/>
      <c r="C289" s="111"/>
      <c r="D289" s="111"/>
      <c r="E289" s="32"/>
      <c r="F289"/>
    </row>
    <row r="290" spans="1:6" s="33" customFormat="1" ht="15">
      <c r="A290" s="158"/>
      <c r="B290" s="148"/>
      <c r="C290" s="111"/>
      <c r="D290" s="111"/>
      <c r="E290" s="32"/>
      <c r="F290"/>
    </row>
    <row r="291" spans="1:6" s="33" customFormat="1" ht="15">
      <c r="A291" s="158"/>
      <c r="B291" s="148"/>
      <c r="C291" s="111"/>
      <c r="D291" s="111"/>
      <c r="E291" s="32"/>
      <c r="F291"/>
    </row>
    <row r="292" spans="1:6" s="33" customFormat="1" ht="15">
      <c r="A292" s="158"/>
      <c r="B292" s="148"/>
      <c r="C292" s="111"/>
      <c r="D292" s="111"/>
      <c r="E292" s="32"/>
      <c r="F292"/>
    </row>
    <row r="293" spans="1:6" s="33" customFormat="1" ht="15">
      <c r="A293" s="158"/>
      <c r="B293" s="148"/>
      <c r="C293" s="111"/>
      <c r="D293" s="111"/>
      <c r="E293" s="32"/>
      <c r="F293"/>
    </row>
    <row r="294" spans="1:6" s="33" customFormat="1" ht="15">
      <c r="A294" s="158"/>
      <c r="B294" s="148"/>
      <c r="C294" s="111"/>
      <c r="D294" s="111"/>
      <c r="E294" s="32"/>
      <c r="F294"/>
    </row>
    <row r="295" spans="1:6" s="33" customFormat="1" ht="15">
      <c r="A295" s="158"/>
      <c r="B295" s="148"/>
      <c r="C295" s="111"/>
      <c r="D295" s="111"/>
      <c r="E295" s="32"/>
      <c r="F295"/>
    </row>
    <row r="296" spans="1:6" s="33" customFormat="1" ht="15">
      <c r="A296" s="158"/>
      <c r="B296" s="148"/>
      <c r="C296" s="111"/>
      <c r="D296" s="111"/>
      <c r="E296" s="32"/>
      <c r="F296"/>
    </row>
    <row r="297" spans="1:6" s="33" customFormat="1" ht="15">
      <c r="A297" s="158"/>
      <c r="B297" s="148"/>
      <c r="C297" s="111"/>
      <c r="D297" s="111"/>
      <c r="E297" s="32"/>
      <c r="F297"/>
    </row>
    <row r="298" spans="1:6" s="33" customFormat="1" ht="15">
      <c r="A298" s="158"/>
      <c r="B298" s="148"/>
      <c r="C298" s="111"/>
      <c r="D298" s="111"/>
      <c r="E298" s="32"/>
      <c r="F298"/>
    </row>
    <row r="299" spans="1:6" s="33" customFormat="1" ht="15">
      <c r="A299" s="158"/>
      <c r="B299" s="148"/>
      <c r="C299" s="111"/>
      <c r="D299" s="111"/>
      <c r="E299" s="32"/>
      <c r="F299"/>
    </row>
    <row r="300" spans="1:6" s="33" customFormat="1" ht="15">
      <c r="A300" s="158"/>
      <c r="B300" s="148"/>
      <c r="C300" s="111"/>
      <c r="D300" s="111"/>
      <c r="E300" s="32"/>
      <c r="F300"/>
    </row>
    <row r="301" spans="1:6" s="33" customFormat="1" ht="15">
      <c r="A301" s="158"/>
      <c r="B301" s="148"/>
      <c r="C301" s="111"/>
      <c r="D301" s="111"/>
      <c r="E301" s="32"/>
      <c r="F301"/>
    </row>
    <row r="302" spans="1:6" s="33" customFormat="1" ht="15">
      <c r="A302" s="158"/>
      <c r="B302" s="148"/>
      <c r="C302" s="111"/>
      <c r="D302" s="111"/>
      <c r="E302" s="32"/>
      <c r="F302"/>
    </row>
    <row r="303" spans="1:6" s="33" customFormat="1" ht="15">
      <c r="A303" s="158"/>
      <c r="B303" s="148"/>
      <c r="C303" s="111"/>
      <c r="D303" s="111"/>
      <c r="E303" s="32"/>
      <c r="F303"/>
    </row>
    <row r="304" spans="1:6" s="33" customFormat="1" ht="15">
      <c r="A304" s="158"/>
      <c r="B304" s="148"/>
      <c r="C304" s="111"/>
      <c r="D304" s="111"/>
      <c r="E304" s="32"/>
      <c r="F304"/>
    </row>
    <row r="305" spans="1:6" s="33" customFormat="1" ht="15">
      <c r="A305" s="158"/>
      <c r="B305" s="148"/>
      <c r="C305" s="111"/>
      <c r="D305" s="111"/>
      <c r="E305" s="32"/>
      <c r="F305"/>
    </row>
    <row r="306" spans="1:6" s="33" customFormat="1" ht="15">
      <c r="A306" s="158"/>
      <c r="B306" s="148"/>
      <c r="C306" s="111"/>
      <c r="D306" s="111"/>
      <c r="E306" s="32"/>
      <c r="F306"/>
    </row>
    <row r="307" spans="1:6" s="33" customFormat="1" ht="15">
      <c r="A307" s="158"/>
      <c r="B307" s="148"/>
      <c r="C307" s="111"/>
      <c r="D307" s="111"/>
      <c r="E307" s="32"/>
      <c r="F307"/>
    </row>
    <row r="308" spans="1:6" s="33" customFormat="1" ht="15">
      <c r="A308" s="158"/>
      <c r="B308" s="148"/>
      <c r="C308" s="111"/>
      <c r="D308" s="111"/>
      <c r="E308" s="32"/>
      <c r="F308"/>
    </row>
    <row r="309" spans="1:6" s="33" customFormat="1" ht="15">
      <c r="A309" s="158"/>
      <c r="B309" s="148"/>
      <c r="C309" s="111"/>
      <c r="D309" s="111"/>
      <c r="E309" s="32"/>
      <c r="F309"/>
    </row>
    <row r="310" spans="1:6" s="33" customFormat="1" ht="15">
      <c r="A310" s="158"/>
      <c r="B310" s="148"/>
      <c r="C310" s="111"/>
      <c r="D310" s="111"/>
      <c r="E310" s="32"/>
      <c r="F310"/>
    </row>
    <row r="311" spans="1:6" s="33" customFormat="1" ht="15">
      <c r="A311" s="158"/>
      <c r="B311" s="148"/>
      <c r="C311" s="111"/>
      <c r="D311" s="111"/>
      <c r="E311" s="32"/>
      <c r="F311"/>
    </row>
    <row r="312" spans="1:6" s="33" customFormat="1" ht="15">
      <c r="A312" s="158"/>
      <c r="B312" s="148"/>
      <c r="C312" s="111"/>
      <c r="D312" s="111"/>
      <c r="E312" s="32"/>
      <c r="F312"/>
    </row>
    <row r="313" spans="1:6" s="33" customFormat="1" ht="15">
      <c r="A313" s="158"/>
      <c r="B313" s="148"/>
      <c r="C313" s="111"/>
      <c r="D313" s="111"/>
      <c r="E313" s="32"/>
      <c r="F313"/>
    </row>
    <row r="314" spans="1:6" s="33" customFormat="1" ht="15">
      <c r="A314" s="158"/>
      <c r="B314" s="148"/>
      <c r="C314" s="111"/>
      <c r="D314" s="111"/>
      <c r="E314" s="32"/>
      <c r="F314"/>
    </row>
    <row r="315" spans="1:6" s="33" customFormat="1" ht="15">
      <c r="A315" s="158"/>
      <c r="B315" s="148"/>
      <c r="C315" s="111"/>
      <c r="D315" s="111"/>
      <c r="E315" s="32"/>
      <c r="F315"/>
    </row>
    <row r="316" spans="1:6" s="33" customFormat="1" ht="15">
      <c r="A316" s="158"/>
      <c r="B316" s="148"/>
      <c r="C316" s="111"/>
      <c r="D316" s="111"/>
      <c r="E316" s="32"/>
      <c r="F316"/>
    </row>
    <row r="317" spans="1:6" s="33" customFormat="1" ht="15">
      <c r="A317" s="158"/>
      <c r="B317" s="148"/>
      <c r="C317" s="111"/>
      <c r="D317" s="111"/>
      <c r="E317" s="32"/>
      <c r="F317"/>
    </row>
    <row r="318" spans="1:6" s="33" customFormat="1" ht="15">
      <c r="A318" s="158"/>
      <c r="B318" s="148"/>
      <c r="C318" s="111"/>
      <c r="D318" s="111"/>
      <c r="E318" s="32"/>
      <c r="F318"/>
    </row>
    <row r="319" spans="1:6" s="33" customFormat="1" ht="15">
      <c r="A319" s="158"/>
      <c r="B319" s="148"/>
      <c r="C319" s="111"/>
      <c r="D319" s="111"/>
      <c r="E319" s="32"/>
      <c r="F319"/>
    </row>
    <row r="320" spans="1:6" s="33" customFormat="1" ht="15">
      <c r="A320" s="158"/>
      <c r="B320" s="148"/>
      <c r="C320" s="111"/>
      <c r="D320" s="111"/>
      <c r="E320" s="32"/>
      <c r="F320"/>
    </row>
    <row r="321" spans="1:6" s="33" customFormat="1" ht="15">
      <c r="A321" s="158"/>
      <c r="B321" s="148"/>
      <c r="C321" s="111"/>
      <c r="D321" s="111"/>
      <c r="E321" s="32"/>
      <c r="F321"/>
    </row>
    <row r="322" spans="1:6" s="33" customFormat="1" ht="15">
      <c r="A322" s="158"/>
      <c r="B322" s="148"/>
      <c r="C322" s="111"/>
      <c r="D322" s="111"/>
      <c r="E322" s="32"/>
      <c r="F322"/>
    </row>
    <row r="323" spans="1:6" s="33" customFormat="1" ht="15">
      <c r="A323" s="158"/>
      <c r="B323" s="148"/>
      <c r="C323" s="111"/>
      <c r="D323" s="111"/>
      <c r="E323" s="32"/>
      <c r="F323"/>
    </row>
    <row r="324" spans="1:6" s="33" customFormat="1" ht="15">
      <c r="A324" s="158"/>
      <c r="B324" s="148"/>
      <c r="C324" s="111"/>
      <c r="D324" s="111"/>
      <c r="E324" s="32"/>
      <c r="F324"/>
    </row>
    <row r="325" spans="1:6" s="33" customFormat="1" ht="15">
      <c r="A325" s="158"/>
      <c r="B325" s="148"/>
      <c r="C325" s="111"/>
      <c r="D325" s="111"/>
      <c r="E325" s="32"/>
      <c r="F325"/>
    </row>
    <row r="326" spans="1:6" s="33" customFormat="1" ht="15">
      <c r="A326" s="158"/>
      <c r="B326" s="148"/>
      <c r="C326" s="111"/>
      <c r="D326" s="111"/>
      <c r="E326" s="32"/>
      <c r="F326"/>
    </row>
    <row r="327" spans="1:6" s="33" customFormat="1" ht="15">
      <c r="A327" s="158"/>
      <c r="B327" s="148"/>
      <c r="C327" s="111"/>
      <c r="D327" s="111"/>
      <c r="E327" s="32"/>
      <c r="F327"/>
    </row>
    <row r="328" spans="1:6" s="33" customFormat="1" ht="15">
      <c r="A328" s="158"/>
      <c r="B328" s="148"/>
      <c r="C328" s="111"/>
      <c r="D328" s="111"/>
      <c r="E328" s="32"/>
      <c r="F328"/>
    </row>
    <row r="329" spans="1:6" s="33" customFormat="1" ht="15">
      <c r="A329" s="158"/>
      <c r="B329" s="148"/>
      <c r="C329" s="111"/>
      <c r="D329" s="111"/>
      <c r="E329" s="32"/>
      <c r="F329"/>
    </row>
    <row r="330" spans="1:6" s="33" customFormat="1" ht="15">
      <c r="A330" s="158"/>
      <c r="B330" s="148"/>
      <c r="C330" s="111"/>
      <c r="D330" s="111"/>
      <c r="E330" s="32"/>
      <c r="F330"/>
    </row>
    <row r="331" spans="1:6" s="33" customFormat="1" ht="15">
      <c r="A331" s="158"/>
      <c r="B331" s="148"/>
      <c r="C331" s="111"/>
      <c r="D331" s="111"/>
      <c r="E331" s="32"/>
      <c r="F331"/>
    </row>
    <row r="332" spans="1:6" s="33" customFormat="1" ht="15">
      <c r="A332" s="158"/>
      <c r="B332" s="148"/>
      <c r="C332" s="111"/>
      <c r="D332" s="111"/>
      <c r="E332" s="32"/>
      <c r="F332"/>
    </row>
    <row r="333" spans="1:6" s="33" customFormat="1" ht="15">
      <c r="A333" s="158"/>
      <c r="B333" s="148"/>
      <c r="C333" s="111"/>
      <c r="D333" s="111"/>
      <c r="E333" s="32"/>
      <c r="F333"/>
    </row>
    <row r="334" spans="1:6" s="33" customFormat="1" ht="15">
      <c r="A334" s="158"/>
      <c r="B334" s="148"/>
      <c r="C334" s="111"/>
      <c r="D334" s="111"/>
      <c r="E334" s="32"/>
      <c r="F334"/>
    </row>
    <row r="335" spans="1:6" s="33" customFormat="1" ht="15">
      <c r="A335" s="158"/>
      <c r="B335" s="148"/>
      <c r="C335" s="111"/>
      <c r="D335" s="111"/>
      <c r="E335" s="32"/>
      <c r="F335"/>
    </row>
    <row r="336" spans="1:6" s="33" customFormat="1" ht="15">
      <c r="A336" s="158"/>
      <c r="B336" s="148"/>
      <c r="C336" s="111"/>
      <c r="D336" s="111"/>
      <c r="E336" s="32"/>
      <c r="F336"/>
    </row>
    <row r="337" spans="1:6" s="33" customFormat="1" ht="15">
      <c r="A337" s="158"/>
      <c r="B337" s="148"/>
      <c r="C337" s="111"/>
      <c r="D337" s="111"/>
      <c r="E337" s="32"/>
      <c r="F337"/>
    </row>
    <row r="338" spans="1:6" s="33" customFormat="1" ht="15">
      <c r="A338" s="158"/>
      <c r="B338" s="148"/>
      <c r="C338" s="111"/>
      <c r="D338" s="111"/>
      <c r="E338" s="32"/>
      <c r="F338"/>
    </row>
    <row r="339" spans="1:6" s="33" customFormat="1" ht="15">
      <c r="A339" s="158"/>
      <c r="B339" s="148"/>
      <c r="C339" s="111"/>
      <c r="D339" s="111"/>
      <c r="E339" s="32"/>
      <c r="F339"/>
    </row>
    <row r="340" spans="1:6" s="33" customFormat="1" ht="15">
      <c r="A340" s="158"/>
      <c r="B340" s="148"/>
      <c r="C340" s="111"/>
      <c r="D340" s="111"/>
      <c r="E340" s="32"/>
      <c r="F340"/>
    </row>
    <row r="341" spans="1:6" s="33" customFormat="1" ht="15">
      <c r="A341" s="158"/>
      <c r="B341" s="148"/>
      <c r="C341" s="111"/>
      <c r="D341" s="111"/>
      <c r="E341" s="32"/>
      <c r="F341"/>
    </row>
    <row r="342" spans="1:6" s="33" customFormat="1" ht="15">
      <c r="A342" s="158"/>
      <c r="B342" s="148"/>
      <c r="C342" s="111"/>
      <c r="D342" s="111"/>
      <c r="E342" s="32"/>
      <c r="F342"/>
    </row>
    <row r="343" spans="1:6" s="33" customFormat="1" ht="15">
      <c r="A343" s="158"/>
      <c r="B343" s="148"/>
      <c r="C343" s="111"/>
      <c r="D343" s="111"/>
      <c r="E343" s="32"/>
      <c r="F343"/>
    </row>
    <row r="344" spans="1:6" s="33" customFormat="1" ht="15">
      <c r="A344" s="158"/>
      <c r="B344" s="148"/>
      <c r="C344" s="111"/>
      <c r="D344" s="111"/>
      <c r="E344" s="32"/>
      <c r="F344"/>
    </row>
    <row r="345" spans="1:6" s="33" customFormat="1" ht="15">
      <c r="A345" s="158"/>
      <c r="B345" s="148"/>
      <c r="C345" s="111"/>
      <c r="D345" s="111"/>
      <c r="E345" s="32"/>
      <c r="F345"/>
    </row>
    <row r="346" spans="1:6" s="33" customFormat="1" ht="15">
      <c r="A346" s="158"/>
      <c r="B346" s="148"/>
      <c r="C346" s="111"/>
      <c r="D346" s="111"/>
      <c r="E346" s="32"/>
      <c r="F346"/>
    </row>
    <row r="347" spans="1:6" s="33" customFormat="1" ht="15">
      <c r="A347" s="158"/>
      <c r="B347" s="148"/>
      <c r="C347" s="111"/>
      <c r="D347" s="111"/>
      <c r="E347" s="32"/>
      <c r="F347"/>
    </row>
    <row r="348" spans="1:6" s="33" customFormat="1" ht="15">
      <c r="A348" s="158"/>
      <c r="B348" s="148"/>
      <c r="C348" s="111"/>
      <c r="D348" s="111"/>
      <c r="E348" s="32"/>
      <c r="F348"/>
    </row>
    <row r="349" spans="1:6" s="33" customFormat="1" ht="15">
      <c r="A349" s="158"/>
      <c r="B349" s="148"/>
      <c r="C349" s="111"/>
      <c r="D349" s="111"/>
      <c r="E349" s="32"/>
      <c r="F349"/>
    </row>
    <row r="350" spans="1:6" s="33" customFormat="1" ht="15">
      <c r="A350" s="158"/>
      <c r="B350" s="148"/>
      <c r="C350" s="111"/>
      <c r="D350" s="111"/>
      <c r="E350" s="32"/>
      <c r="F350"/>
    </row>
    <row r="351" spans="1:6" s="33" customFormat="1" ht="15">
      <c r="A351" s="158"/>
      <c r="B351" s="148"/>
      <c r="C351" s="111"/>
      <c r="D351" s="111"/>
      <c r="E351" s="32"/>
      <c r="F351"/>
    </row>
    <row r="352" spans="1:6" s="33" customFormat="1" ht="15">
      <c r="A352" s="158"/>
      <c r="B352" s="148"/>
      <c r="C352" s="111"/>
      <c r="D352" s="111"/>
      <c r="E352" s="32"/>
      <c r="F352"/>
    </row>
    <row r="353" spans="1:6" s="33" customFormat="1" ht="15">
      <c r="A353" s="158"/>
      <c r="B353" s="148"/>
      <c r="C353" s="111"/>
      <c r="D353" s="111"/>
      <c r="E353" s="32"/>
      <c r="F353"/>
    </row>
    <row r="354" spans="1:6" s="33" customFormat="1" ht="15">
      <c r="A354" s="158"/>
      <c r="B354" s="148"/>
      <c r="C354" s="111"/>
      <c r="D354" s="111"/>
      <c r="E354" s="32"/>
      <c r="F354"/>
    </row>
    <row r="355" spans="1:6" s="33" customFormat="1" ht="15">
      <c r="A355" s="158"/>
      <c r="B355" s="148"/>
      <c r="C355" s="111"/>
      <c r="D355" s="111"/>
      <c r="E355" s="32"/>
      <c r="F355"/>
    </row>
    <row r="356" spans="1:6" s="33" customFormat="1" ht="15">
      <c r="A356" s="158"/>
      <c r="B356" s="148"/>
      <c r="C356" s="111"/>
      <c r="D356" s="111"/>
      <c r="E356" s="32"/>
      <c r="F356"/>
    </row>
    <row r="357" spans="1:6" s="33" customFormat="1" ht="15">
      <c r="A357" s="158"/>
      <c r="B357" s="148"/>
      <c r="C357" s="111"/>
      <c r="D357" s="111"/>
      <c r="E357" s="32"/>
      <c r="F357"/>
    </row>
    <row r="358" spans="1:6" s="33" customFormat="1" ht="15">
      <c r="A358" s="158"/>
      <c r="B358" s="148"/>
      <c r="C358" s="111"/>
      <c r="D358" s="111"/>
      <c r="E358" s="32"/>
      <c r="F358"/>
    </row>
    <row r="359" spans="1:6" s="33" customFormat="1" ht="15">
      <c r="A359" s="158"/>
      <c r="B359" s="148"/>
      <c r="C359" s="111"/>
      <c r="D359" s="111"/>
      <c r="E359" s="32"/>
      <c r="F359"/>
    </row>
    <row r="360" spans="1:6" s="33" customFormat="1" ht="15">
      <c r="A360" s="158"/>
      <c r="B360" s="148"/>
      <c r="C360" s="111"/>
      <c r="D360" s="111"/>
      <c r="E360" s="32"/>
      <c r="F360"/>
    </row>
    <row r="361" spans="1:6" s="33" customFormat="1" ht="15">
      <c r="A361" s="158"/>
      <c r="B361" s="148"/>
      <c r="C361" s="111"/>
      <c r="D361" s="111"/>
      <c r="E361" s="32"/>
      <c r="F361"/>
    </row>
    <row r="362" spans="1:6" s="33" customFormat="1" ht="15">
      <c r="A362" s="158"/>
      <c r="B362" s="148"/>
      <c r="C362" s="111"/>
      <c r="D362" s="111"/>
      <c r="E362" s="32"/>
      <c r="F362"/>
    </row>
    <row r="363" spans="1:6" s="33" customFormat="1" ht="15">
      <c r="A363" s="158"/>
      <c r="B363" s="148"/>
      <c r="C363" s="111"/>
      <c r="D363" s="111"/>
      <c r="E363" s="32"/>
      <c r="F363"/>
    </row>
    <row r="364" spans="1:6" s="33" customFormat="1" ht="15">
      <c r="A364" s="158"/>
      <c r="B364" s="148"/>
      <c r="C364" s="111"/>
      <c r="D364" s="111"/>
      <c r="E364" s="32"/>
      <c r="F364"/>
    </row>
    <row r="365" spans="1:6" s="33" customFormat="1" ht="15">
      <c r="A365" s="158"/>
      <c r="B365" s="148"/>
      <c r="C365" s="111"/>
      <c r="D365" s="111"/>
      <c r="E365" s="32"/>
      <c r="F365"/>
    </row>
    <row r="366" spans="1:6" s="33" customFormat="1" ht="15">
      <c r="A366" s="158"/>
      <c r="B366" s="148"/>
      <c r="C366" s="111"/>
      <c r="D366" s="111"/>
      <c r="E366" s="32"/>
      <c r="F366"/>
    </row>
    <row r="367" spans="1:6" s="33" customFormat="1" ht="15">
      <c r="A367" s="158"/>
      <c r="B367" s="148"/>
      <c r="C367" s="111"/>
      <c r="D367" s="111"/>
      <c r="E367" s="32"/>
      <c r="F367"/>
    </row>
    <row r="368" spans="1:6" s="33" customFormat="1" ht="15">
      <c r="A368" s="158"/>
      <c r="B368" s="148"/>
      <c r="C368" s="111"/>
      <c r="D368" s="111"/>
      <c r="E368" s="32"/>
      <c r="F368"/>
    </row>
    <row r="369" spans="1:6" s="33" customFormat="1" ht="15">
      <c r="A369" s="158"/>
      <c r="B369" s="148"/>
      <c r="C369" s="111"/>
      <c r="D369" s="111"/>
      <c r="E369" s="32"/>
      <c r="F369"/>
    </row>
    <row r="370" spans="1:6" s="33" customFormat="1" ht="15">
      <c r="A370" s="158"/>
      <c r="B370" s="148"/>
      <c r="C370" s="111"/>
      <c r="D370" s="111"/>
      <c r="E370" s="32"/>
      <c r="F370"/>
    </row>
    <row r="371" spans="1:6" s="33" customFormat="1" ht="15">
      <c r="A371" s="158"/>
      <c r="B371" s="148"/>
      <c r="C371" s="111"/>
      <c r="D371" s="111"/>
      <c r="E371" s="32"/>
      <c r="F371"/>
    </row>
    <row r="372" spans="1:6" s="33" customFormat="1" ht="15">
      <c r="A372" s="158"/>
      <c r="B372" s="148"/>
      <c r="C372" s="111"/>
      <c r="D372" s="111"/>
      <c r="E372" s="32"/>
      <c r="F372"/>
    </row>
    <row r="373" spans="1:6" s="33" customFormat="1" ht="15">
      <c r="A373" s="158"/>
      <c r="B373" s="148"/>
      <c r="C373" s="111"/>
      <c r="D373" s="111"/>
      <c r="E373" s="32"/>
      <c r="F373"/>
    </row>
    <row r="374" spans="1:6" s="33" customFormat="1" ht="15">
      <c r="A374" s="158"/>
      <c r="B374" s="148"/>
      <c r="C374" s="111"/>
      <c r="D374" s="111"/>
      <c r="E374" s="32"/>
      <c r="F374"/>
    </row>
    <row r="375" spans="1:6" s="33" customFormat="1" ht="15">
      <c r="A375" s="158"/>
      <c r="B375" s="148"/>
      <c r="C375" s="111"/>
      <c r="D375" s="111"/>
      <c r="E375" s="32"/>
      <c r="F375"/>
    </row>
    <row r="376" spans="1:6" s="33" customFormat="1" ht="15">
      <c r="A376" s="158"/>
      <c r="B376" s="148"/>
      <c r="C376" s="111"/>
      <c r="D376" s="111"/>
      <c r="E376" s="32"/>
      <c r="F376"/>
    </row>
    <row r="377" spans="1:6" s="33" customFormat="1" ht="15">
      <c r="A377" s="158"/>
      <c r="B377" s="148"/>
      <c r="C377" s="111"/>
      <c r="D377" s="111"/>
      <c r="E377" s="32"/>
      <c r="F377"/>
    </row>
    <row r="378" spans="1:6" s="33" customFormat="1" ht="15">
      <c r="A378" s="158"/>
      <c r="B378" s="148"/>
      <c r="C378" s="111"/>
      <c r="D378" s="111"/>
      <c r="E378" s="32"/>
      <c r="F378"/>
    </row>
    <row r="379" spans="1:6" s="33" customFormat="1" ht="15">
      <c r="A379" s="158"/>
      <c r="B379" s="148"/>
      <c r="C379" s="111"/>
      <c r="D379" s="111"/>
      <c r="E379" s="32"/>
      <c r="F379"/>
    </row>
    <row r="380" spans="1:6" s="33" customFormat="1" ht="15">
      <c r="A380" s="158"/>
      <c r="B380" s="148"/>
      <c r="C380" s="111"/>
      <c r="D380" s="111"/>
      <c r="E380" s="32"/>
      <c r="F380"/>
    </row>
    <row r="381" spans="1:6" s="33" customFormat="1" ht="15">
      <c r="A381" s="158"/>
      <c r="B381" s="148"/>
      <c r="C381" s="111"/>
      <c r="D381" s="111"/>
      <c r="E381" s="32"/>
      <c r="F381"/>
    </row>
    <row r="382" spans="1:6" s="33" customFormat="1" ht="15">
      <c r="A382" s="158"/>
      <c r="B382" s="148"/>
      <c r="C382" s="111"/>
      <c r="D382" s="111"/>
      <c r="E382" s="32"/>
      <c r="F382"/>
    </row>
    <row r="383" spans="1:6" s="33" customFormat="1" ht="15">
      <c r="A383" s="158"/>
      <c r="B383" s="148"/>
      <c r="C383" s="111"/>
      <c r="D383" s="111"/>
      <c r="E383" s="32"/>
      <c r="F383"/>
    </row>
    <row r="384" spans="1:6" s="33" customFormat="1" ht="15">
      <c r="A384" s="158"/>
      <c r="B384" s="148"/>
      <c r="C384" s="111"/>
      <c r="D384" s="111"/>
      <c r="E384" s="32"/>
      <c r="F384"/>
    </row>
    <row r="385" spans="1:6" s="33" customFormat="1" ht="15">
      <c r="A385" s="158"/>
      <c r="B385" s="148"/>
      <c r="C385" s="111"/>
      <c r="D385" s="111"/>
      <c r="E385" s="32"/>
      <c r="F385"/>
    </row>
    <row r="386" spans="1:6" s="33" customFormat="1" ht="15">
      <c r="A386" s="158"/>
      <c r="B386" s="148"/>
      <c r="C386" s="111"/>
      <c r="D386" s="111"/>
      <c r="E386" s="32"/>
      <c r="F386"/>
    </row>
    <row r="387" spans="1:6" s="33" customFormat="1" ht="15">
      <c r="A387" s="158"/>
      <c r="B387" s="148"/>
      <c r="C387" s="111"/>
      <c r="D387" s="111"/>
      <c r="E387" s="32"/>
      <c r="F387"/>
    </row>
    <row r="388" spans="1:6" s="33" customFormat="1" ht="15">
      <c r="A388" s="158"/>
      <c r="B388" s="148"/>
      <c r="C388" s="111"/>
      <c r="D388" s="111"/>
      <c r="E388" s="32"/>
      <c r="F388"/>
    </row>
    <row r="389" spans="1:6" s="33" customFormat="1" ht="15">
      <c r="A389" s="158"/>
      <c r="B389" s="148"/>
      <c r="C389" s="111"/>
      <c r="D389" s="111"/>
      <c r="E389" s="32"/>
      <c r="F389"/>
    </row>
    <row r="390" spans="1:6" s="33" customFormat="1" ht="15">
      <c r="A390" s="158"/>
      <c r="B390" s="148"/>
      <c r="C390" s="111"/>
      <c r="D390" s="111"/>
      <c r="E390" s="32"/>
      <c r="F390"/>
    </row>
    <row r="391" spans="1:6" s="33" customFormat="1" ht="15">
      <c r="A391" s="158"/>
      <c r="B391" s="148"/>
      <c r="C391" s="111"/>
      <c r="D391" s="111"/>
      <c r="E391" s="32"/>
      <c r="F391"/>
    </row>
    <row r="392" spans="1:6" s="33" customFormat="1" ht="15">
      <c r="A392" s="158"/>
      <c r="B392" s="148"/>
      <c r="C392" s="111"/>
      <c r="D392" s="111"/>
      <c r="E392" s="32"/>
      <c r="F392"/>
    </row>
    <row r="393" spans="1:6" s="33" customFormat="1" ht="15">
      <c r="A393" s="158"/>
      <c r="B393" s="148"/>
      <c r="C393" s="111"/>
      <c r="D393" s="111"/>
      <c r="E393" s="32"/>
      <c r="F393"/>
    </row>
    <row r="394" spans="1:6" s="33" customFormat="1" ht="15">
      <c r="A394" s="158"/>
      <c r="B394" s="148"/>
      <c r="C394" s="111"/>
      <c r="D394" s="111"/>
      <c r="E394" s="32"/>
      <c r="F394"/>
    </row>
    <row r="395" spans="1:6" s="33" customFormat="1" ht="15">
      <c r="A395" s="158"/>
      <c r="B395" s="148"/>
      <c r="C395" s="111"/>
      <c r="D395" s="111"/>
      <c r="E395" s="32"/>
      <c r="F395"/>
    </row>
    <row r="396" spans="1:6" s="33" customFormat="1" ht="15">
      <c r="A396" s="158"/>
      <c r="B396" s="148"/>
      <c r="C396" s="111"/>
      <c r="D396" s="111"/>
      <c r="E396" s="32"/>
      <c r="F396"/>
    </row>
    <row r="397" spans="1:6" s="33" customFormat="1" ht="15">
      <c r="A397" s="158"/>
      <c r="B397" s="148"/>
      <c r="C397" s="111"/>
      <c r="D397" s="111"/>
      <c r="E397" s="32"/>
      <c r="F397"/>
    </row>
    <row r="398" spans="1:6" s="33" customFormat="1" ht="15">
      <c r="A398" s="158"/>
      <c r="B398" s="148"/>
      <c r="C398" s="111"/>
      <c r="D398" s="111"/>
      <c r="E398" s="32"/>
      <c r="F398"/>
    </row>
    <row r="399" spans="1:6" s="33" customFormat="1" ht="15">
      <c r="A399" s="158"/>
      <c r="B399" s="148"/>
      <c r="C399" s="111"/>
      <c r="D399" s="111"/>
      <c r="E399" s="32"/>
      <c r="F399"/>
    </row>
    <row r="400" spans="1:6" s="33" customFormat="1" ht="15">
      <c r="A400" s="158"/>
      <c r="B400" s="148"/>
      <c r="C400" s="111"/>
      <c r="D400" s="111"/>
      <c r="E400" s="32"/>
      <c r="F400"/>
    </row>
    <row r="401" spans="1:6" s="33" customFormat="1" ht="15">
      <c r="A401" s="158"/>
      <c r="B401" s="148"/>
      <c r="C401" s="111"/>
      <c r="D401" s="111"/>
      <c r="E401" s="32"/>
      <c r="F401"/>
    </row>
    <row r="402" spans="1:6" s="33" customFormat="1" ht="15">
      <c r="A402" s="158"/>
      <c r="B402" s="148"/>
      <c r="C402" s="111"/>
      <c r="D402" s="111"/>
      <c r="E402" s="32"/>
      <c r="F402"/>
    </row>
    <row r="403" spans="1:6" s="33" customFormat="1" ht="15">
      <c r="A403" s="158"/>
      <c r="B403" s="148"/>
      <c r="C403" s="111"/>
      <c r="D403" s="111"/>
      <c r="E403" s="32"/>
      <c r="F403"/>
    </row>
    <row r="404" spans="1:6" s="33" customFormat="1" ht="15">
      <c r="A404" s="158"/>
      <c r="B404" s="148"/>
      <c r="C404" s="111"/>
      <c r="D404" s="111"/>
      <c r="E404" s="32"/>
      <c r="F404"/>
    </row>
    <row r="405" spans="1:6" s="33" customFormat="1" ht="15">
      <c r="A405" s="158"/>
      <c r="B405" s="148"/>
      <c r="C405" s="111"/>
      <c r="D405" s="111"/>
      <c r="E405" s="32"/>
      <c r="F405"/>
    </row>
    <row r="406" spans="1:6" s="33" customFormat="1" ht="15">
      <c r="A406" s="158"/>
      <c r="B406" s="148"/>
      <c r="C406" s="111"/>
      <c r="D406" s="111"/>
      <c r="E406" s="32"/>
      <c r="F406"/>
    </row>
    <row r="407" spans="1:6" s="33" customFormat="1" ht="15">
      <c r="A407" s="158"/>
      <c r="B407" s="148"/>
      <c r="C407" s="111"/>
      <c r="D407" s="111"/>
      <c r="E407" s="32"/>
      <c r="F407"/>
    </row>
    <row r="408" spans="1:6" s="33" customFormat="1" ht="15">
      <c r="A408" s="158"/>
      <c r="B408" s="148"/>
      <c r="C408" s="111"/>
      <c r="D408" s="111"/>
      <c r="E408" s="32"/>
      <c r="F408"/>
    </row>
    <row r="409" spans="1:6" s="33" customFormat="1" ht="15">
      <c r="A409" s="158"/>
      <c r="B409" s="148"/>
      <c r="C409" s="111"/>
      <c r="D409" s="111"/>
      <c r="E409" s="32"/>
      <c r="F409"/>
    </row>
    <row r="410" spans="1:6" s="33" customFormat="1" ht="15">
      <c r="A410" s="158"/>
      <c r="B410" s="148"/>
      <c r="C410" s="111"/>
      <c r="D410" s="111"/>
      <c r="E410" s="32"/>
      <c r="F410"/>
    </row>
    <row r="411" spans="1:6" s="33" customFormat="1" ht="15">
      <c r="A411" s="158"/>
      <c r="B411" s="148"/>
      <c r="C411" s="111"/>
      <c r="D411" s="111"/>
      <c r="E411" s="32"/>
      <c r="F411"/>
    </row>
    <row r="412" spans="1:6" s="33" customFormat="1" ht="15">
      <c r="A412" s="158"/>
      <c r="B412" s="148"/>
      <c r="C412" s="111"/>
      <c r="D412" s="111"/>
      <c r="E412" s="32"/>
      <c r="F412"/>
    </row>
    <row r="413" spans="1:6" s="33" customFormat="1" ht="15">
      <c r="A413" s="158"/>
      <c r="B413" s="148"/>
      <c r="C413" s="111"/>
      <c r="D413" s="111"/>
      <c r="E413" s="32"/>
      <c r="F413"/>
    </row>
    <row r="414" spans="1:6" s="33" customFormat="1" ht="15">
      <c r="A414" s="158"/>
      <c r="B414" s="148"/>
      <c r="C414" s="111"/>
      <c r="D414" s="111"/>
      <c r="E414" s="32"/>
      <c r="F414"/>
    </row>
    <row r="415" spans="1:6" s="33" customFormat="1" ht="15">
      <c r="A415" s="158"/>
      <c r="B415" s="148"/>
      <c r="C415" s="111"/>
      <c r="D415" s="111"/>
      <c r="E415" s="32"/>
      <c r="F415"/>
    </row>
    <row r="416" spans="1:6" s="33" customFormat="1" ht="15">
      <c r="A416" s="158"/>
      <c r="B416" s="148"/>
      <c r="C416" s="111"/>
      <c r="D416" s="111"/>
      <c r="E416" s="32"/>
      <c r="F416"/>
    </row>
    <row r="417" spans="1:6" s="33" customFormat="1" ht="15">
      <c r="A417" s="158"/>
      <c r="B417" s="148"/>
      <c r="C417" s="111"/>
      <c r="D417" s="111"/>
      <c r="E417" s="32"/>
      <c r="F417"/>
    </row>
    <row r="418" spans="1:6" s="33" customFormat="1" ht="15">
      <c r="A418" s="158"/>
      <c r="B418" s="148"/>
      <c r="C418" s="111"/>
      <c r="D418" s="111"/>
      <c r="E418" s="32"/>
      <c r="F418"/>
    </row>
    <row r="419" spans="1:6" s="33" customFormat="1" ht="15">
      <c r="A419" s="158"/>
      <c r="B419" s="148"/>
      <c r="C419" s="111"/>
      <c r="D419" s="111"/>
      <c r="E419" s="32"/>
      <c r="F419"/>
    </row>
    <row r="420" spans="1:6" s="33" customFormat="1" ht="15">
      <c r="A420" s="158"/>
      <c r="B420" s="148"/>
      <c r="C420" s="111"/>
      <c r="D420" s="111"/>
      <c r="E420" s="32"/>
      <c r="F420"/>
    </row>
    <row r="421" spans="1:6" s="33" customFormat="1" ht="15">
      <c r="A421" s="158"/>
      <c r="B421" s="148"/>
      <c r="C421" s="111"/>
      <c r="D421" s="111"/>
      <c r="E421" s="32"/>
      <c r="F421"/>
    </row>
    <row r="422" spans="1:6" s="33" customFormat="1" ht="15">
      <c r="A422" s="158"/>
      <c r="B422" s="148"/>
      <c r="C422" s="111"/>
      <c r="D422" s="111"/>
      <c r="E422" s="32"/>
      <c r="F422"/>
    </row>
    <row r="423" spans="1:6" s="33" customFormat="1" ht="15">
      <c r="A423" s="158"/>
      <c r="B423" s="148"/>
      <c r="C423" s="111"/>
      <c r="D423" s="111"/>
      <c r="E423" s="32"/>
      <c r="F423"/>
    </row>
    <row r="424" spans="1:6" s="33" customFormat="1" ht="15">
      <c r="A424" s="158"/>
      <c r="B424" s="148"/>
      <c r="C424" s="111"/>
      <c r="D424" s="111"/>
      <c r="E424" s="32"/>
      <c r="F424"/>
    </row>
    <row r="425" spans="1:6" s="33" customFormat="1" ht="15">
      <c r="A425" s="158"/>
      <c r="B425" s="148"/>
      <c r="C425" s="111"/>
      <c r="D425" s="111"/>
      <c r="E425" s="32"/>
      <c r="F425"/>
    </row>
    <row r="426" spans="1:6" s="33" customFormat="1" ht="15">
      <c r="A426" s="158"/>
      <c r="B426" s="148"/>
      <c r="C426" s="111"/>
      <c r="D426" s="111"/>
      <c r="E426" s="32"/>
      <c r="F426"/>
    </row>
    <row r="427" spans="1:6" s="33" customFormat="1" ht="15">
      <c r="A427" s="158"/>
      <c r="B427" s="148"/>
      <c r="C427" s="111"/>
      <c r="D427" s="111"/>
      <c r="E427" s="32"/>
      <c r="F427"/>
    </row>
    <row r="428" spans="1:6" s="33" customFormat="1" ht="15">
      <c r="A428" s="158"/>
      <c r="B428" s="148"/>
      <c r="C428" s="111"/>
      <c r="D428" s="111"/>
      <c r="E428" s="32"/>
      <c r="F428"/>
    </row>
    <row r="429" spans="1:6" s="33" customFormat="1" ht="15">
      <c r="A429" s="158"/>
      <c r="B429" s="148"/>
      <c r="C429" s="111"/>
      <c r="D429" s="111"/>
      <c r="E429" s="32"/>
      <c r="F429"/>
    </row>
    <row r="430" spans="1:6" s="33" customFormat="1" ht="15">
      <c r="A430" s="158"/>
      <c r="B430" s="148"/>
      <c r="C430" s="111"/>
      <c r="D430" s="111"/>
      <c r="E430" s="32"/>
      <c r="F430"/>
    </row>
    <row r="431" spans="1:6" s="33" customFormat="1" ht="15">
      <c r="A431" s="158"/>
      <c r="B431" s="148"/>
      <c r="C431" s="111"/>
      <c r="D431" s="111"/>
      <c r="E431" s="32"/>
      <c r="F431"/>
    </row>
    <row r="432" spans="1:6" s="33" customFormat="1" ht="15">
      <c r="A432" s="158"/>
      <c r="B432" s="148"/>
      <c r="C432" s="111"/>
      <c r="D432" s="111"/>
      <c r="E432" s="32"/>
      <c r="F432"/>
    </row>
    <row r="433" spans="1:6" s="33" customFormat="1" ht="15">
      <c r="A433" s="158"/>
      <c r="B433" s="148"/>
      <c r="C433" s="111"/>
      <c r="D433" s="111"/>
      <c r="E433" s="32"/>
      <c r="F433"/>
    </row>
    <row r="434" spans="1:6" s="33" customFormat="1" ht="15">
      <c r="A434" s="158"/>
      <c r="B434" s="148"/>
      <c r="C434" s="111"/>
      <c r="D434" s="111"/>
      <c r="E434" s="32"/>
      <c r="F434"/>
    </row>
    <row r="435" spans="1:6" s="33" customFormat="1" ht="15">
      <c r="A435" s="158"/>
      <c r="B435" s="148"/>
      <c r="C435" s="111"/>
      <c r="D435" s="111"/>
      <c r="E435" s="32"/>
      <c r="F435"/>
    </row>
    <row r="436" spans="1:6" s="33" customFormat="1" ht="15">
      <c r="A436" s="158"/>
      <c r="B436" s="148"/>
      <c r="C436" s="111"/>
      <c r="D436" s="111"/>
      <c r="E436" s="32"/>
      <c r="F436"/>
    </row>
    <row r="437" spans="1:6" s="33" customFormat="1" ht="15">
      <c r="A437" s="158"/>
      <c r="B437" s="148"/>
      <c r="C437" s="111"/>
      <c r="D437" s="111"/>
      <c r="E437" s="32"/>
      <c r="F437"/>
    </row>
    <row r="438" spans="1:6" s="33" customFormat="1" ht="15">
      <c r="A438" s="158"/>
      <c r="B438" s="148"/>
      <c r="C438" s="111"/>
      <c r="D438" s="111"/>
      <c r="E438" s="32"/>
      <c r="F438"/>
    </row>
    <row r="439" spans="1:6" s="33" customFormat="1" ht="15">
      <c r="A439" s="158"/>
      <c r="B439" s="148"/>
      <c r="C439" s="111"/>
      <c r="D439" s="111"/>
      <c r="E439" s="32"/>
      <c r="F439"/>
    </row>
    <row r="440" spans="1:6" s="33" customFormat="1" ht="15">
      <c r="A440" s="158"/>
      <c r="B440" s="148"/>
      <c r="C440" s="111"/>
      <c r="D440" s="111"/>
      <c r="E440" s="32"/>
      <c r="F440"/>
    </row>
    <row r="441" spans="1:6" s="33" customFormat="1" ht="15">
      <c r="A441" s="158"/>
      <c r="B441" s="148"/>
      <c r="C441" s="111"/>
      <c r="D441" s="111"/>
      <c r="E441" s="32"/>
      <c r="F441"/>
    </row>
    <row r="442" spans="1:6" s="33" customFormat="1" ht="15">
      <c r="A442" s="158"/>
      <c r="B442" s="148"/>
      <c r="C442" s="111"/>
      <c r="D442" s="111"/>
      <c r="E442" s="32"/>
      <c r="F442"/>
    </row>
    <row r="443" spans="1:6" s="33" customFormat="1" ht="15">
      <c r="A443" s="158"/>
      <c r="B443" s="148"/>
      <c r="C443" s="111"/>
      <c r="D443" s="111"/>
      <c r="E443" s="32"/>
      <c r="F443"/>
    </row>
    <row r="444" spans="1:6" s="33" customFormat="1" ht="15">
      <c r="A444" s="158"/>
      <c r="B444" s="148"/>
      <c r="C444" s="111"/>
      <c r="D444" s="111"/>
      <c r="E444" s="32"/>
      <c r="F444"/>
    </row>
    <row r="445" spans="1:6" s="33" customFormat="1" ht="15">
      <c r="A445" s="158"/>
      <c r="B445" s="148"/>
      <c r="C445" s="111"/>
      <c r="D445" s="111"/>
      <c r="E445" s="32"/>
      <c r="F445"/>
    </row>
    <row r="446" spans="1:6" s="33" customFormat="1" ht="15">
      <c r="A446" s="158"/>
      <c r="B446" s="148"/>
      <c r="C446" s="111"/>
      <c r="D446" s="111"/>
      <c r="E446" s="32"/>
      <c r="F446"/>
    </row>
    <row r="447" spans="1:6" s="33" customFormat="1" ht="15">
      <c r="A447" s="158"/>
      <c r="B447" s="148"/>
      <c r="C447" s="111"/>
      <c r="D447" s="111"/>
      <c r="E447" s="32"/>
      <c r="F447"/>
    </row>
    <row r="448" spans="1:6" s="33" customFormat="1" ht="15">
      <c r="A448" s="158"/>
      <c r="B448" s="148"/>
      <c r="C448" s="111"/>
      <c r="D448" s="111"/>
      <c r="E448" s="32"/>
      <c r="F448"/>
    </row>
    <row r="449" spans="1:6" s="33" customFormat="1" ht="15">
      <c r="A449" s="158"/>
      <c r="B449" s="148"/>
      <c r="C449" s="111"/>
      <c r="D449" s="111"/>
      <c r="E449" s="32"/>
      <c r="F449"/>
    </row>
    <row r="450" spans="1:6" s="33" customFormat="1" ht="15">
      <c r="A450" s="158"/>
      <c r="B450" s="148"/>
      <c r="C450" s="111"/>
      <c r="D450" s="111"/>
      <c r="E450" s="32"/>
      <c r="F450"/>
    </row>
    <row r="451" spans="1:6" s="33" customFormat="1" ht="15">
      <c r="A451" s="158"/>
      <c r="B451" s="148"/>
      <c r="C451" s="111"/>
      <c r="D451" s="111"/>
      <c r="E451" s="32"/>
      <c r="F451"/>
    </row>
    <row r="452" spans="1:6" s="33" customFormat="1" ht="15">
      <c r="A452" s="158"/>
      <c r="B452" s="148"/>
      <c r="C452" s="111"/>
      <c r="D452" s="111"/>
      <c r="E452" s="32"/>
      <c r="F452"/>
    </row>
    <row r="453" spans="1:6" s="33" customFormat="1" ht="15">
      <c r="A453" s="158"/>
      <c r="B453" s="148"/>
      <c r="C453" s="111"/>
      <c r="D453" s="111"/>
      <c r="E453" s="32"/>
      <c r="F453"/>
    </row>
    <row r="454" spans="1:6" s="33" customFormat="1" ht="15">
      <c r="A454" s="158"/>
      <c r="B454" s="148"/>
      <c r="C454" s="111"/>
      <c r="D454" s="111"/>
      <c r="E454" s="32"/>
      <c r="F454"/>
    </row>
    <row r="455" spans="1:6" s="33" customFormat="1" ht="15">
      <c r="A455" s="158"/>
      <c r="B455" s="148"/>
      <c r="C455" s="111"/>
      <c r="D455" s="111"/>
      <c r="E455" s="32"/>
      <c r="F455"/>
    </row>
    <row r="456" spans="1:6" s="33" customFormat="1" ht="15">
      <c r="A456" s="158"/>
      <c r="B456" s="148"/>
      <c r="C456" s="111"/>
      <c r="D456" s="111"/>
      <c r="E456" s="32"/>
      <c r="F456"/>
    </row>
    <row r="457" spans="1:6" s="33" customFormat="1" ht="15">
      <c r="A457" s="158"/>
      <c r="B457" s="148"/>
      <c r="C457" s="111"/>
      <c r="D457" s="111"/>
      <c r="E457" s="32"/>
      <c r="F457"/>
    </row>
    <row r="458" spans="1:6" s="33" customFormat="1" ht="15">
      <c r="A458" s="158"/>
      <c r="B458" s="148"/>
      <c r="C458" s="111"/>
      <c r="D458" s="111"/>
      <c r="E458" s="32"/>
      <c r="F458"/>
    </row>
    <row r="459" spans="1:6" s="33" customFormat="1" ht="15">
      <c r="A459" s="158"/>
      <c r="B459" s="148"/>
      <c r="C459" s="111"/>
      <c r="D459" s="111"/>
      <c r="E459" s="32"/>
      <c r="F459"/>
    </row>
    <row r="460" spans="1:6" s="33" customFormat="1" ht="15">
      <c r="A460" s="158"/>
      <c r="B460" s="148"/>
      <c r="C460" s="111"/>
      <c r="D460" s="111"/>
      <c r="E460" s="32"/>
      <c r="F460"/>
    </row>
    <row r="461" spans="1:6" s="33" customFormat="1" ht="15">
      <c r="A461" s="158"/>
      <c r="B461" s="148"/>
      <c r="C461" s="111"/>
      <c r="D461" s="111"/>
      <c r="E461" s="32"/>
      <c r="F461"/>
    </row>
    <row r="462" spans="1:6" s="33" customFormat="1" ht="15">
      <c r="A462" s="158"/>
      <c r="B462" s="148"/>
      <c r="C462" s="111"/>
      <c r="D462" s="111"/>
      <c r="E462" s="32"/>
      <c r="F462"/>
    </row>
    <row r="463" spans="1:6" s="33" customFormat="1" ht="15">
      <c r="A463" s="158"/>
      <c r="B463" s="148"/>
      <c r="C463" s="111"/>
      <c r="D463" s="111"/>
      <c r="E463" s="32"/>
      <c r="F463"/>
    </row>
    <row r="464" spans="1:6" s="33" customFormat="1" ht="15">
      <c r="A464" s="158"/>
      <c r="B464" s="148"/>
      <c r="C464" s="111"/>
      <c r="D464" s="111"/>
      <c r="E464" s="32"/>
      <c r="F464"/>
    </row>
    <row r="465" spans="1:6" s="33" customFormat="1" ht="15">
      <c r="A465" s="158"/>
      <c r="B465" s="148"/>
      <c r="C465" s="111"/>
      <c r="D465" s="111"/>
      <c r="E465" s="32"/>
      <c r="F465"/>
    </row>
    <row r="466" spans="1:6" s="33" customFormat="1" ht="15">
      <c r="A466" s="158"/>
      <c r="B466" s="148"/>
      <c r="C466" s="111"/>
      <c r="D466" s="111"/>
      <c r="E466" s="32"/>
      <c r="F466"/>
    </row>
    <row r="467" spans="1:6" s="33" customFormat="1" ht="15">
      <c r="A467" s="158"/>
      <c r="B467" s="148"/>
      <c r="C467" s="111"/>
      <c r="D467" s="111"/>
      <c r="E467" s="32"/>
      <c r="F467"/>
    </row>
    <row r="468" spans="1:6" s="33" customFormat="1" ht="15">
      <c r="A468" s="158"/>
      <c r="B468" s="148"/>
      <c r="C468" s="111"/>
      <c r="D468" s="111"/>
      <c r="E468" s="32"/>
      <c r="F468"/>
    </row>
    <row r="469" spans="1:6" s="33" customFormat="1" ht="15">
      <c r="A469" s="158"/>
      <c r="B469" s="148"/>
      <c r="C469" s="111"/>
      <c r="D469" s="111"/>
      <c r="E469" s="32"/>
      <c r="F469"/>
    </row>
    <row r="470" spans="1:6" s="33" customFormat="1" ht="15">
      <c r="A470" s="158"/>
      <c r="B470" s="148"/>
      <c r="C470" s="111"/>
      <c r="D470" s="111"/>
      <c r="E470" s="32"/>
      <c r="F470"/>
    </row>
    <row r="471" spans="1:6" s="33" customFormat="1" ht="15">
      <c r="A471" s="158"/>
      <c r="B471" s="148"/>
      <c r="C471" s="111"/>
      <c r="D471" s="111"/>
      <c r="E471" s="32"/>
      <c r="F471"/>
    </row>
    <row r="472" spans="1:6" s="33" customFormat="1" ht="15">
      <c r="A472" s="158"/>
      <c r="B472" s="148"/>
      <c r="C472" s="111"/>
      <c r="D472" s="111"/>
      <c r="E472" s="32"/>
      <c r="F472"/>
    </row>
    <row r="473" spans="1:6" s="33" customFormat="1" ht="15">
      <c r="A473" s="158"/>
      <c r="B473" s="148"/>
      <c r="C473" s="111"/>
      <c r="D473" s="111"/>
      <c r="E473" s="32"/>
      <c r="F473"/>
    </row>
    <row r="474" spans="1:6" s="33" customFormat="1" ht="15">
      <c r="A474" s="158"/>
      <c r="B474" s="148"/>
      <c r="C474" s="111"/>
      <c r="D474" s="111"/>
      <c r="E474" s="32"/>
      <c r="F474"/>
    </row>
    <row r="475" spans="1:6" s="33" customFormat="1" ht="15">
      <c r="A475" s="158"/>
      <c r="B475" s="148"/>
      <c r="C475" s="111"/>
      <c r="D475" s="111"/>
      <c r="E475" s="32"/>
      <c r="F475"/>
    </row>
    <row r="476" spans="1:6" s="33" customFormat="1" ht="15">
      <c r="A476" s="158"/>
      <c r="B476" s="148"/>
      <c r="C476" s="111"/>
      <c r="D476" s="111"/>
      <c r="E476" s="32"/>
      <c r="F476"/>
    </row>
    <row r="477" spans="1:6" s="33" customFormat="1" ht="15">
      <c r="A477" s="158"/>
      <c r="B477" s="148"/>
      <c r="C477" s="111"/>
      <c r="D477" s="111"/>
      <c r="E477" s="32"/>
      <c r="F477"/>
    </row>
    <row r="478" spans="1:6" s="33" customFormat="1" ht="15">
      <c r="A478" s="158"/>
      <c r="B478" s="148"/>
      <c r="C478" s="111"/>
      <c r="D478" s="111"/>
      <c r="E478" s="32"/>
      <c r="F478"/>
    </row>
    <row r="479" spans="1:6" s="33" customFormat="1" ht="15">
      <c r="A479" s="158"/>
      <c r="B479" s="148"/>
      <c r="C479" s="111"/>
      <c r="D479" s="111"/>
      <c r="E479" s="32"/>
      <c r="F479"/>
    </row>
    <row r="480" spans="1:6" s="33" customFormat="1" ht="15">
      <c r="A480" s="158"/>
      <c r="B480" s="148"/>
      <c r="C480" s="111"/>
      <c r="D480" s="111"/>
      <c r="E480" s="32"/>
      <c r="F480"/>
    </row>
    <row r="481" spans="1:6" s="33" customFormat="1" ht="15">
      <c r="A481" s="158"/>
      <c r="B481" s="148"/>
      <c r="C481" s="111"/>
      <c r="D481" s="111"/>
      <c r="E481" s="32"/>
      <c r="F481"/>
    </row>
    <row r="482" spans="1:6" s="33" customFormat="1" ht="15">
      <c r="A482" s="158"/>
      <c r="B482" s="148"/>
      <c r="C482" s="111"/>
      <c r="D482" s="111"/>
      <c r="E482" s="32"/>
      <c r="F482"/>
    </row>
    <row r="483" spans="1:6" s="33" customFormat="1" ht="15">
      <c r="A483" s="158"/>
      <c r="B483" s="148"/>
      <c r="C483" s="111"/>
      <c r="D483" s="111"/>
      <c r="E483" s="32"/>
      <c r="F483"/>
    </row>
    <row r="484" spans="1:6" s="33" customFormat="1" ht="15">
      <c r="A484" s="158"/>
      <c r="B484" s="148"/>
      <c r="C484" s="111"/>
      <c r="D484" s="111"/>
      <c r="E484" s="32"/>
      <c r="F484"/>
    </row>
    <row r="485" spans="1:6" s="33" customFormat="1" ht="15">
      <c r="A485" s="158"/>
      <c r="B485" s="148"/>
      <c r="C485" s="111"/>
      <c r="D485" s="111"/>
      <c r="E485" s="32"/>
      <c r="F485"/>
    </row>
    <row r="486" spans="1:6" s="33" customFormat="1" ht="15">
      <c r="A486" s="158"/>
      <c r="B486" s="148"/>
      <c r="C486" s="111"/>
      <c r="D486" s="111"/>
      <c r="E486" s="32"/>
      <c r="F486"/>
    </row>
    <row r="487" spans="1:6" s="33" customFormat="1" ht="15">
      <c r="A487" s="158"/>
      <c r="B487" s="148"/>
      <c r="C487" s="111"/>
      <c r="D487" s="111"/>
      <c r="E487" s="32"/>
      <c r="F487"/>
    </row>
    <row r="488" spans="1:6" s="33" customFormat="1" ht="15">
      <c r="A488" s="158"/>
      <c r="B488" s="148"/>
      <c r="C488" s="111"/>
      <c r="D488" s="111"/>
      <c r="E488" s="32"/>
      <c r="F488"/>
    </row>
    <row r="489" spans="1:6" s="33" customFormat="1" ht="15">
      <c r="A489" s="158"/>
      <c r="B489" s="148"/>
      <c r="C489" s="111"/>
      <c r="D489" s="111"/>
      <c r="E489" s="32"/>
      <c r="F489"/>
    </row>
    <row r="490" spans="1:6" s="33" customFormat="1" ht="15">
      <c r="A490" s="158"/>
      <c r="B490" s="148"/>
      <c r="C490" s="111"/>
      <c r="D490" s="111"/>
      <c r="E490" s="32"/>
      <c r="F490"/>
    </row>
    <row r="491" spans="1:6" s="33" customFormat="1" ht="15">
      <c r="A491" s="158"/>
      <c r="B491" s="148"/>
      <c r="C491" s="111"/>
      <c r="D491" s="111"/>
      <c r="E491" s="32"/>
      <c r="F491"/>
    </row>
    <row r="492" spans="1:6" s="33" customFormat="1" ht="15">
      <c r="A492" s="158"/>
      <c r="B492" s="148"/>
      <c r="C492" s="111"/>
      <c r="D492" s="111"/>
      <c r="E492" s="32"/>
      <c r="F492"/>
    </row>
    <row r="493" spans="1:6" s="33" customFormat="1" ht="15">
      <c r="A493" s="158"/>
      <c r="B493" s="148"/>
      <c r="C493" s="111"/>
      <c r="D493" s="111"/>
      <c r="E493" s="32"/>
      <c r="F493"/>
    </row>
    <row r="494" spans="1:6" s="33" customFormat="1" ht="15">
      <c r="A494" s="158"/>
      <c r="B494" s="148"/>
      <c r="C494" s="111"/>
      <c r="D494" s="111"/>
      <c r="E494" s="32"/>
      <c r="F494"/>
    </row>
    <row r="495" spans="1:6" s="33" customFormat="1" ht="15">
      <c r="A495" s="158"/>
      <c r="B495" s="148"/>
      <c r="C495" s="111"/>
      <c r="D495" s="111"/>
      <c r="E495" s="32"/>
      <c r="F495"/>
    </row>
    <row r="496" spans="1:6" s="33" customFormat="1" ht="15">
      <c r="A496" s="158"/>
      <c r="B496" s="148"/>
      <c r="C496" s="111"/>
      <c r="D496" s="111"/>
      <c r="E496" s="32"/>
      <c r="F496"/>
    </row>
    <row r="497" spans="1:6" s="33" customFormat="1" ht="15">
      <c r="A497" s="158"/>
      <c r="B497" s="148"/>
      <c r="C497" s="111"/>
      <c r="D497" s="111"/>
      <c r="E497" s="32"/>
      <c r="F497"/>
    </row>
    <row r="498" spans="1:6" s="33" customFormat="1" ht="15">
      <c r="A498" s="158"/>
      <c r="B498" s="148"/>
      <c r="C498" s="111"/>
      <c r="D498" s="111"/>
      <c r="E498" s="32"/>
      <c r="F498"/>
    </row>
    <row r="499" spans="1:6" s="33" customFormat="1" ht="15">
      <c r="A499" s="158"/>
      <c r="B499" s="148"/>
      <c r="C499" s="111"/>
      <c r="D499" s="111"/>
      <c r="E499" s="32"/>
      <c r="F499"/>
    </row>
    <row r="500" spans="1:6" s="33" customFormat="1" ht="15">
      <c r="A500" s="158"/>
      <c r="B500" s="148"/>
      <c r="C500" s="111"/>
      <c r="D500" s="111"/>
      <c r="E500" s="32"/>
      <c r="F500"/>
    </row>
    <row r="501" spans="1:6" s="33" customFormat="1" ht="15">
      <c r="A501" s="158"/>
      <c r="B501" s="148"/>
      <c r="C501" s="111"/>
      <c r="D501" s="111"/>
      <c r="E501" s="32"/>
      <c r="F501"/>
    </row>
    <row r="502" spans="1:6" s="33" customFormat="1" ht="15">
      <c r="A502" s="158"/>
      <c r="B502" s="148"/>
      <c r="C502" s="111"/>
      <c r="D502" s="111"/>
      <c r="E502" s="32"/>
      <c r="F502"/>
    </row>
    <row r="503" spans="1:6" s="33" customFormat="1" ht="15">
      <c r="A503" s="158"/>
      <c r="B503" s="148"/>
      <c r="C503" s="111"/>
      <c r="D503" s="111"/>
      <c r="E503" s="32"/>
      <c r="F503"/>
    </row>
    <row r="504" spans="1:6" s="33" customFormat="1" ht="15">
      <c r="A504" s="158"/>
      <c r="B504" s="148"/>
      <c r="C504" s="111"/>
      <c r="D504" s="111"/>
      <c r="E504" s="32"/>
      <c r="F504"/>
    </row>
    <row r="505" spans="1:6" s="33" customFormat="1" ht="15">
      <c r="A505" s="158"/>
      <c r="B505" s="148"/>
      <c r="C505" s="111"/>
      <c r="D505" s="111"/>
      <c r="E505" s="32"/>
      <c r="F505"/>
    </row>
    <row r="506" spans="1:6" s="33" customFormat="1" ht="15">
      <c r="A506" s="158"/>
      <c r="B506" s="148"/>
      <c r="C506" s="111"/>
      <c r="D506" s="111"/>
      <c r="E506" s="32"/>
      <c r="F506"/>
    </row>
    <row r="507" spans="1:6" s="33" customFormat="1" ht="15">
      <c r="A507" s="158"/>
      <c r="B507" s="148"/>
      <c r="C507" s="111"/>
      <c r="D507" s="111"/>
      <c r="E507" s="32"/>
      <c r="F507"/>
    </row>
    <row r="508" spans="1:6" s="33" customFormat="1" ht="15">
      <c r="A508" s="158"/>
      <c r="B508" s="148"/>
      <c r="C508" s="111"/>
      <c r="D508" s="111"/>
      <c r="E508" s="32"/>
      <c r="F508"/>
    </row>
    <row r="509" spans="1:6" s="33" customFormat="1" ht="15">
      <c r="A509" s="158"/>
      <c r="B509" s="148"/>
      <c r="C509" s="111"/>
      <c r="D509" s="111"/>
      <c r="E509" s="32"/>
      <c r="F509"/>
    </row>
    <row r="510" spans="1:6" s="33" customFormat="1" ht="15">
      <c r="A510" s="158"/>
      <c r="B510" s="148"/>
      <c r="C510" s="111"/>
      <c r="D510" s="111"/>
      <c r="E510" s="32"/>
      <c r="F510"/>
    </row>
    <row r="511" spans="1:6" s="33" customFormat="1" ht="15">
      <c r="A511" s="158"/>
      <c r="B511" s="148"/>
      <c r="C511" s="111"/>
      <c r="D511" s="111"/>
      <c r="E511" s="32"/>
      <c r="F511"/>
    </row>
    <row r="512" spans="1:6" s="33" customFormat="1" ht="15">
      <c r="A512" s="158"/>
      <c r="B512" s="148"/>
      <c r="C512" s="111"/>
      <c r="D512" s="111"/>
      <c r="E512" s="32"/>
      <c r="F512"/>
    </row>
    <row r="513" spans="1:6" s="33" customFormat="1" ht="15">
      <c r="A513" s="158"/>
      <c r="B513" s="148"/>
      <c r="C513" s="111"/>
      <c r="D513" s="111"/>
      <c r="E513" s="32"/>
      <c r="F513"/>
    </row>
    <row r="514" spans="1:6" s="33" customFormat="1" ht="15">
      <c r="A514" s="158"/>
      <c r="B514" s="148"/>
      <c r="C514" s="111"/>
      <c r="D514" s="111"/>
      <c r="E514" s="32"/>
      <c r="F514"/>
    </row>
    <row r="515" spans="1:6" s="33" customFormat="1" ht="15">
      <c r="A515" s="158"/>
      <c r="B515" s="148"/>
      <c r="C515" s="111"/>
      <c r="D515" s="111"/>
      <c r="E515" s="32"/>
      <c r="F515"/>
    </row>
    <row r="516" spans="1:6" s="33" customFormat="1" ht="15">
      <c r="A516" s="158"/>
      <c r="B516" s="148"/>
      <c r="C516" s="111"/>
      <c r="D516" s="111"/>
      <c r="E516" s="32"/>
      <c r="F516"/>
    </row>
    <row r="517" spans="1:6" s="33" customFormat="1" ht="15">
      <c r="A517" s="158"/>
      <c r="B517" s="148"/>
      <c r="C517" s="111"/>
      <c r="D517" s="111"/>
      <c r="E517" s="32"/>
      <c r="F517"/>
    </row>
    <row r="518" spans="1:6" s="33" customFormat="1" ht="15">
      <c r="A518" s="158"/>
      <c r="B518" s="148"/>
      <c r="C518" s="111"/>
      <c r="D518" s="111"/>
      <c r="E518" s="32"/>
      <c r="F518"/>
    </row>
    <row r="519" spans="1:6" s="33" customFormat="1" ht="15">
      <c r="A519" s="158"/>
      <c r="B519" s="148"/>
      <c r="C519" s="111"/>
      <c r="D519" s="111"/>
      <c r="E519" s="32"/>
      <c r="F519"/>
    </row>
    <row r="520" spans="1:6" s="33" customFormat="1" ht="15">
      <c r="A520" s="158"/>
      <c r="B520" s="148"/>
      <c r="C520" s="111"/>
      <c r="D520" s="111"/>
      <c r="E520" s="32"/>
      <c r="F520"/>
    </row>
    <row r="521" spans="1:6" s="33" customFormat="1" ht="15">
      <c r="A521" s="158"/>
      <c r="B521" s="148"/>
      <c r="C521" s="111"/>
      <c r="D521" s="111"/>
      <c r="E521" s="32"/>
      <c r="F521"/>
    </row>
    <row r="522" spans="1:6" s="33" customFormat="1" ht="15">
      <c r="A522" s="158"/>
      <c r="B522" s="148"/>
      <c r="C522" s="111"/>
      <c r="D522" s="111"/>
      <c r="E522" s="32"/>
      <c r="F522"/>
    </row>
    <row r="523" spans="1:6" s="33" customFormat="1" ht="15">
      <c r="A523" s="158"/>
      <c r="B523" s="148"/>
      <c r="C523" s="111"/>
      <c r="D523" s="111"/>
      <c r="E523" s="32"/>
      <c r="F523"/>
    </row>
    <row r="524" spans="1:6" s="33" customFormat="1" ht="15">
      <c r="A524" s="158"/>
      <c r="B524" s="148"/>
      <c r="C524" s="111"/>
      <c r="D524" s="111"/>
      <c r="E524" s="32"/>
      <c r="F524"/>
    </row>
    <row r="525" spans="1:6" s="33" customFormat="1" ht="15">
      <c r="A525" s="158"/>
      <c r="B525" s="148"/>
      <c r="C525" s="111"/>
      <c r="D525" s="111"/>
      <c r="E525" s="32"/>
      <c r="F525"/>
    </row>
    <row r="526" spans="1:6" s="33" customFormat="1" ht="15">
      <c r="A526" s="158"/>
      <c r="B526" s="148"/>
      <c r="C526" s="111"/>
      <c r="D526" s="111"/>
      <c r="E526" s="32"/>
      <c r="F526"/>
    </row>
    <row r="527" spans="1:6" s="33" customFormat="1" ht="15">
      <c r="A527" s="158"/>
      <c r="B527" s="148"/>
      <c r="C527" s="111"/>
      <c r="D527" s="111"/>
      <c r="E527" s="32"/>
      <c r="F527"/>
    </row>
    <row r="528" spans="1:6" s="33" customFormat="1" ht="15">
      <c r="A528" s="158"/>
      <c r="B528" s="148"/>
      <c r="C528" s="111"/>
      <c r="D528" s="111"/>
      <c r="E528" s="32"/>
      <c r="F528"/>
    </row>
    <row r="529" spans="1:6" s="33" customFormat="1" ht="15">
      <c r="A529" s="158"/>
      <c r="B529" s="148"/>
      <c r="C529" s="111"/>
      <c r="D529" s="111"/>
      <c r="E529" s="32"/>
      <c r="F529"/>
    </row>
    <row r="530" spans="1:6" s="33" customFormat="1" ht="15">
      <c r="A530" s="158"/>
      <c r="B530" s="148"/>
      <c r="C530" s="111"/>
      <c r="D530" s="111"/>
      <c r="E530" s="32"/>
      <c r="F530"/>
    </row>
    <row r="531" spans="1:6" s="33" customFormat="1" ht="15">
      <c r="A531" s="158"/>
      <c r="B531" s="148"/>
      <c r="C531" s="111"/>
      <c r="D531" s="111"/>
      <c r="E531" s="32"/>
      <c r="F531"/>
    </row>
    <row r="532" spans="1:6" s="33" customFormat="1" ht="15">
      <c r="A532" s="158"/>
      <c r="B532" s="148"/>
      <c r="C532" s="111"/>
      <c r="D532" s="111"/>
      <c r="E532" s="32"/>
      <c r="F532"/>
    </row>
    <row r="533" spans="1:6" s="33" customFormat="1" ht="15">
      <c r="A533" s="158"/>
      <c r="B533" s="148"/>
      <c r="C533" s="111"/>
      <c r="D533" s="111"/>
      <c r="E533" s="32"/>
      <c r="F533"/>
    </row>
    <row r="534" spans="1:6" s="33" customFormat="1" ht="15">
      <c r="A534" s="158"/>
      <c r="B534" s="148"/>
      <c r="C534" s="111"/>
      <c r="D534" s="111"/>
      <c r="E534" s="32"/>
      <c r="F534"/>
    </row>
    <row r="535" spans="1:6" s="33" customFormat="1" ht="15">
      <c r="A535" s="158"/>
      <c r="B535" s="148"/>
      <c r="C535" s="111"/>
      <c r="D535" s="111"/>
      <c r="E535" s="32"/>
      <c r="F535"/>
    </row>
    <row r="536" spans="1:6" s="33" customFormat="1" ht="15">
      <c r="A536" s="158"/>
      <c r="B536" s="148"/>
      <c r="C536" s="111"/>
      <c r="D536" s="111"/>
      <c r="E536" s="32"/>
      <c r="F536"/>
    </row>
    <row r="537" spans="1:6" s="33" customFormat="1" ht="15">
      <c r="A537" s="158"/>
      <c r="B537" s="148"/>
      <c r="C537" s="111"/>
      <c r="D537" s="111"/>
      <c r="E537" s="32"/>
      <c r="F537"/>
    </row>
    <row r="538" spans="1:6" s="33" customFormat="1" ht="15">
      <c r="A538" s="158"/>
      <c r="B538" s="148"/>
      <c r="C538" s="111"/>
      <c r="D538" s="111"/>
      <c r="E538" s="32"/>
      <c r="F538"/>
    </row>
    <row r="539" spans="1:6" s="33" customFormat="1" ht="15">
      <c r="A539" s="158"/>
      <c r="B539" s="148"/>
      <c r="C539" s="111"/>
      <c r="D539" s="111"/>
      <c r="E539" s="32"/>
      <c r="F539"/>
    </row>
    <row r="540" spans="1:6" s="33" customFormat="1" ht="15">
      <c r="A540" s="158"/>
      <c r="B540" s="148"/>
      <c r="C540" s="111"/>
      <c r="D540" s="111"/>
      <c r="E540" s="32"/>
      <c r="F540"/>
    </row>
    <row r="541" spans="1:6" s="33" customFormat="1" ht="15">
      <c r="A541" s="158"/>
      <c r="B541" s="148"/>
      <c r="C541" s="111"/>
      <c r="D541" s="111"/>
      <c r="E541" s="32"/>
      <c r="F541"/>
    </row>
    <row r="542" spans="1:6" s="33" customFormat="1" ht="15">
      <c r="A542" s="158"/>
      <c r="B542" s="148"/>
      <c r="C542" s="111"/>
      <c r="D542" s="111"/>
      <c r="E542" s="32"/>
      <c r="F542"/>
    </row>
    <row r="543" spans="1:6" s="33" customFormat="1" ht="15">
      <c r="A543" s="158"/>
      <c r="B543" s="148"/>
      <c r="C543" s="111"/>
      <c r="D543" s="111"/>
      <c r="E543" s="32"/>
      <c r="F543"/>
    </row>
    <row r="544" spans="1:6" s="33" customFormat="1" ht="15">
      <c r="A544" s="158"/>
      <c r="B544" s="148"/>
      <c r="C544" s="111"/>
      <c r="D544" s="111"/>
      <c r="E544" s="32"/>
      <c r="F544"/>
    </row>
    <row r="545" spans="1:6" s="33" customFormat="1" ht="15">
      <c r="A545" s="158"/>
      <c r="B545" s="148"/>
      <c r="C545" s="111"/>
      <c r="D545" s="111"/>
      <c r="E545" s="32"/>
      <c r="F545"/>
    </row>
    <row r="546" spans="1:6" s="33" customFormat="1" ht="15">
      <c r="A546" s="158"/>
      <c r="B546" s="148"/>
      <c r="C546" s="111"/>
      <c r="D546" s="111"/>
      <c r="E546" s="32"/>
      <c r="F546"/>
    </row>
    <row r="547" spans="1:6" s="33" customFormat="1" ht="15">
      <c r="A547" s="158"/>
      <c r="B547" s="148"/>
      <c r="C547" s="111"/>
      <c r="D547" s="111"/>
      <c r="E547" s="32"/>
      <c r="F547"/>
    </row>
    <row r="548" spans="1:6" s="33" customFormat="1" ht="15">
      <c r="A548" s="158"/>
      <c r="B548" s="148"/>
      <c r="C548" s="111"/>
      <c r="D548" s="111"/>
      <c r="E548" s="32"/>
      <c r="F548"/>
    </row>
    <row r="549" spans="1:6" s="33" customFormat="1" ht="15">
      <c r="A549" s="158"/>
      <c r="B549" s="148"/>
      <c r="C549" s="111"/>
      <c r="D549" s="111"/>
      <c r="E549" s="32"/>
      <c r="F549"/>
    </row>
    <row r="550" spans="1:6" s="33" customFormat="1" ht="15">
      <c r="A550" s="158"/>
      <c r="B550" s="148"/>
      <c r="C550" s="111"/>
      <c r="D550" s="111"/>
      <c r="E550" s="32"/>
      <c r="F550"/>
    </row>
    <row r="551" spans="1:6" s="33" customFormat="1" ht="15">
      <c r="A551" s="158"/>
      <c r="B551" s="148"/>
      <c r="C551" s="111"/>
      <c r="D551" s="111"/>
      <c r="E551" s="32"/>
      <c r="F551"/>
    </row>
    <row r="552" spans="1:6" s="33" customFormat="1" ht="15">
      <c r="A552" s="158"/>
      <c r="B552" s="148"/>
      <c r="C552" s="111"/>
      <c r="D552" s="111"/>
      <c r="E552" s="32"/>
      <c r="F552"/>
    </row>
    <row r="553" spans="1:6" s="33" customFormat="1" ht="15">
      <c r="A553" s="158"/>
      <c r="B553" s="148"/>
      <c r="C553" s="111"/>
      <c r="D553" s="111"/>
      <c r="E553" s="32"/>
      <c r="F553"/>
    </row>
    <row r="554" spans="1:6" s="33" customFormat="1" ht="15">
      <c r="A554" s="158"/>
      <c r="B554" s="148"/>
      <c r="C554" s="111"/>
      <c r="D554" s="111"/>
      <c r="E554" s="32"/>
      <c r="F554"/>
    </row>
    <row r="555" spans="1:6" s="33" customFormat="1" ht="15">
      <c r="A555" s="158"/>
      <c r="B555" s="148"/>
      <c r="C555" s="111"/>
      <c r="D555" s="111"/>
      <c r="E555" s="32"/>
      <c r="F555"/>
    </row>
    <row r="556" spans="1:6" s="33" customFormat="1" ht="15">
      <c r="A556" s="158"/>
      <c r="B556" s="148"/>
      <c r="C556" s="111"/>
      <c r="D556" s="111"/>
      <c r="E556" s="32"/>
      <c r="F556"/>
    </row>
    <row r="557" spans="1:6" s="33" customFormat="1" ht="15">
      <c r="A557" s="158"/>
      <c r="B557" s="148"/>
      <c r="C557" s="111"/>
      <c r="D557" s="111"/>
      <c r="E557" s="32"/>
      <c r="F557"/>
    </row>
    <row r="558" spans="1:6" s="33" customFormat="1" ht="15">
      <c r="A558" s="158"/>
      <c r="B558" s="148"/>
      <c r="C558" s="111"/>
      <c r="D558" s="111"/>
      <c r="E558" s="32"/>
      <c r="F558"/>
    </row>
    <row r="559" spans="1:6" s="33" customFormat="1" ht="15">
      <c r="A559" s="158"/>
      <c r="B559" s="148"/>
      <c r="C559" s="111"/>
      <c r="D559" s="111"/>
      <c r="E559" s="32"/>
      <c r="F559"/>
    </row>
    <row r="560" spans="1:6" s="33" customFormat="1" ht="15">
      <c r="A560" s="158"/>
      <c r="B560" s="148"/>
      <c r="C560" s="111"/>
      <c r="D560" s="111"/>
      <c r="E560" s="32"/>
      <c r="F560"/>
    </row>
    <row r="561" spans="1:6" s="33" customFormat="1" ht="15">
      <c r="A561" s="158"/>
      <c r="B561" s="148"/>
      <c r="C561" s="111"/>
      <c r="D561" s="111"/>
      <c r="E561" s="32"/>
      <c r="F561"/>
    </row>
    <row r="562" spans="1:6" s="33" customFormat="1" ht="15">
      <c r="A562" s="158"/>
      <c r="B562" s="148"/>
      <c r="C562" s="111"/>
      <c r="D562" s="111"/>
      <c r="E562" s="32"/>
      <c r="F562"/>
    </row>
    <row r="563" spans="1:6" s="33" customFormat="1" ht="15">
      <c r="A563" s="158"/>
      <c r="B563" s="148"/>
      <c r="C563" s="111"/>
      <c r="D563" s="111"/>
      <c r="E563" s="32"/>
      <c r="F563"/>
    </row>
    <row r="564" spans="1:6" s="33" customFormat="1" ht="15">
      <c r="A564" s="158"/>
      <c r="B564" s="148"/>
      <c r="C564" s="111"/>
      <c r="D564" s="111"/>
      <c r="E564" s="32"/>
      <c r="F564"/>
    </row>
    <row r="565" spans="1:6" s="33" customFormat="1" ht="15">
      <c r="A565" s="158"/>
      <c r="B565" s="148"/>
      <c r="C565" s="111"/>
      <c r="D565" s="111"/>
      <c r="E565" s="32"/>
      <c r="F565"/>
    </row>
    <row r="566" spans="1:6" s="33" customFormat="1" ht="15">
      <c r="A566" s="158"/>
      <c r="B566" s="148"/>
      <c r="C566" s="111"/>
      <c r="D566" s="111"/>
      <c r="E566" s="32"/>
      <c r="F566"/>
    </row>
    <row r="567" spans="1:6" s="33" customFormat="1" ht="15">
      <c r="A567" s="158"/>
      <c r="B567" s="148"/>
      <c r="C567" s="111"/>
      <c r="D567" s="111"/>
      <c r="E567" s="32"/>
      <c r="F567"/>
    </row>
    <row r="568" spans="1:6" s="33" customFormat="1" ht="15">
      <c r="A568" s="158"/>
      <c r="B568" s="148"/>
      <c r="C568" s="111"/>
      <c r="D568" s="111"/>
      <c r="E568" s="32"/>
      <c r="F568"/>
    </row>
    <row r="569" spans="1:6" s="33" customFormat="1" ht="15">
      <c r="A569" s="158"/>
      <c r="B569" s="148"/>
      <c r="C569" s="111"/>
      <c r="D569" s="111"/>
      <c r="E569" s="32"/>
      <c r="F569"/>
    </row>
    <row r="570" spans="1:6" s="33" customFormat="1" ht="15">
      <c r="A570" s="158"/>
      <c r="B570" s="148"/>
      <c r="C570" s="111"/>
      <c r="D570" s="111"/>
      <c r="E570" s="32"/>
      <c r="F570"/>
    </row>
    <row r="571" spans="1:6" s="33" customFormat="1" ht="15">
      <c r="A571" s="158"/>
      <c r="B571" s="148"/>
      <c r="C571" s="111"/>
      <c r="D571" s="111"/>
      <c r="E571" s="32"/>
      <c r="F571"/>
    </row>
    <row r="572" spans="1:6" s="33" customFormat="1" ht="15">
      <c r="A572" s="158"/>
      <c r="B572" s="148"/>
      <c r="C572" s="111"/>
      <c r="D572" s="111"/>
      <c r="E572" s="32"/>
      <c r="F572"/>
    </row>
    <row r="573" spans="1:6" s="33" customFormat="1" ht="15">
      <c r="A573" s="158"/>
      <c r="B573" s="148"/>
      <c r="C573" s="111"/>
      <c r="D573" s="111"/>
      <c r="E573" s="32"/>
      <c r="F573"/>
    </row>
    <row r="574" spans="1:6" s="33" customFormat="1" ht="15">
      <c r="A574" s="158"/>
      <c r="B574" s="148"/>
      <c r="C574" s="111"/>
      <c r="D574" s="111"/>
      <c r="E574" s="32"/>
      <c r="F574"/>
    </row>
    <row r="575" spans="1:6" s="33" customFormat="1" ht="15">
      <c r="A575" s="158"/>
      <c r="B575" s="148"/>
      <c r="C575" s="111"/>
      <c r="D575" s="111"/>
      <c r="E575" s="32"/>
      <c r="F575"/>
    </row>
    <row r="576" spans="1:6" s="33" customFormat="1" ht="15">
      <c r="A576" s="158"/>
      <c r="B576" s="148"/>
      <c r="C576" s="111"/>
      <c r="D576" s="111"/>
      <c r="E576" s="32"/>
      <c r="F576"/>
    </row>
    <row r="577" spans="1:6" s="33" customFormat="1" ht="15">
      <c r="A577" s="158"/>
      <c r="B577" s="148"/>
      <c r="C577" s="111"/>
      <c r="D577" s="111"/>
      <c r="E577" s="32"/>
      <c r="F577"/>
    </row>
    <row r="578" spans="1:6" s="33" customFormat="1" ht="15">
      <c r="A578" s="158"/>
      <c r="B578" s="148"/>
      <c r="C578" s="111"/>
      <c r="D578" s="111"/>
      <c r="E578" s="32"/>
      <c r="F578"/>
    </row>
    <row r="579" spans="1:6" s="33" customFormat="1" ht="15">
      <c r="A579" s="158"/>
      <c r="B579" s="148"/>
      <c r="C579" s="111"/>
      <c r="D579" s="111"/>
      <c r="E579" s="32"/>
      <c r="F579"/>
    </row>
    <row r="580" spans="1:6" s="33" customFormat="1" ht="15">
      <c r="A580" s="158"/>
      <c r="B580" s="148"/>
      <c r="C580" s="111"/>
      <c r="D580" s="111"/>
      <c r="E580" s="32"/>
      <c r="F580"/>
    </row>
    <row r="581" spans="1:6" s="33" customFormat="1" ht="15">
      <c r="A581" s="158"/>
      <c r="B581" s="148"/>
      <c r="C581" s="111"/>
      <c r="D581" s="111"/>
      <c r="E581" s="32"/>
      <c r="F581"/>
    </row>
    <row r="582" spans="1:6" s="33" customFormat="1" ht="15">
      <c r="A582" s="158"/>
      <c r="B582" s="148"/>
      <c r="C582" s="111"/>
      <c r="D582" s="111"/>
      <c r="E582" s="32"/>
      <c r="F582"/>
    </row>
    <row r="583" spans="1:6" s="33" customFormat="1" ht="15">
      <c r="A583" s="158"/>
      <c r="B583" s="148"/>
      <c r="C583" s="111"/>
      <c r="D583" s="111"/>
      <c r="E583" s="32"/>
      <c r="F583"/>
    </row>
    <row r="584" spans="1:6" s="33" customFormat="1" ht="15">
      <c r="A584" s="158"/>
      <c r="B584" s="148"/>
      <c r="C584" s="111"/>
      <c r="D584" s="111"/>
      <c r="E584" s="32"/>
      <c r="F584"/>
    </row>
    <row r="585" spans="1:6" s="33" customFormat="1" ht="15">
      <c r="A585" s="158"/>
      <c r="B585" s="148"/>
      <c r="C585" s="111"/>
      <c r="D585" s="111"/>
      <c r="E585" s="32"/>
      <c r="F585"/>
    </row>
    <row r="586" spans="1:6" s="33" customFormat="1" ht="15">
      <c r="A586" s="158"/>
      <c r="B586" s="148"/>
      <c r="C586" s="111"/>
      <c r="D586" s="111"/>
      <c r="E586" s="32"/>
      <c r="F586"/>
    </row>
    <row r="587" spans="1:6" s="33" customFormat="1" ht="15">
      <c r="A587" s="158"/>
      <c r="B587" s="148"/>
      <c r="C587" s="111"/>
      <c r="D587" s="111"/>
      <c r="E587" s="32"/>
      <c r="F587"/>
    </row>
    <row r="588" spans="1:6" s="33" customFormat="1" ht="15">
      <c r="A588" s="158"/>
      <c r="B588" s="148"/>
      <c r="C588" s="111"/>
      <c r="D588" s="111"/>
      <c r="E588" s="32"/>
      <c r="F588"/>
    </row>
    <row r="589" spans="1:6" s="33" customFormat="1" ht="15">
      <c r="A589" s="158"/>
      <c r="B589" s="148"/>
      <c r="C589" s="111"/>
      <c r="D589" s="111"/>
      <c r="E589" s="32"/>
      <c r="F589"/>
    </row>
    <row r="590" spans="1:6" s="33" customFormat="1" ht="15">
      <c r="A590" s="158"/>
      <c r="B590" s="148"/>
      <c r="C590" s="111"/>
      <c r="D590" s="111"/>
      <c r="E590" s="32"/>
      <c r="F590"/>
    </row>
    <row r="591" spans="1:6" s="33" customFormat="1" ht="15">
      <c r="A591" s="158"/>
      <c r="B591" s="148"/>
      <c r="C591" s="111"/>
      <c r="D591" s="111"/>
      <c r="E591" s="32"/>
      <c r="F591"/>
    </row>
    <row r="592" spans="1:6" s="33" customFormat="1" ht="15">
      <c r="A592" s="158"/>
      <c r="B592" s="148"/>
      <c r="C592" s="111"/>
      <c r="D592" s="111"/>
      <c r="E592" s="32"/>
      <c r="F592"/>
    </row>
    <row r="593" spans="1:6" s="33" customFormat="1" ht="15">
      <c r="A593" s="158"/>
      <c r="B593" s="148"/>
      <c r="C593" s="111"/>
      <c r="D593" s="111"/>
      <c r="E593" s="32"/>
      <c r="F593"/>
    </row>
    <row r="594" spans="1:6" s="33" customFormat="1" ht="15">
      <c r="A594" s="158"/>
      <c r="B594" s="148"/>
      <c r="C594" s="111"/>
      <c r="D594" s="111"/>
      <c r="E594" s="32"/>
      <c r="F594"/>
    </row>
    <row r="595" spans="1:6" s="33" customFormat="1" ht="15">
      <c r="A595" s="158"/>
      <c r="B595" s="148"/>
      <c r="C595" s="111"/>
      <c r="D595" s="111"/>
      <c r="E595" s="32"/>
      <c r="F595"/>
    </row>
    <row r="596" spans="1:6" s="33" customFormat="1" ht="15">
      <c r="A596" s="158"/>
      <c r="B596" s="148"/>
      <c r="C596" s="111"/>
      <c r="D596" s="111"/>
      <c r="E596" s="32"/>
      <c r="F596"/>
    </row>
    <row r="597" spans="1:6" s="33" customFormat="1" ht="15">
      <c r="A597" s="158"/>
      <c r="B597" s="148"/>
      <c r="C597" s="111"/>
      <c r="D597" s="111"/>
      <c r="E597" s="32"/>
      <c r="F597"/>
    </row>
    <row r="598" spans="1:6" s="33" customFormat="1" ht="15">
      <c r="A598" s="158"/>
      <c r="B598" s="148"/>
      <c r="C598" s="111"/>
      <c r="D598" s="111"/>
      <c r="E598" s="32"/>
      <c r="F598"/>
    </row>
    <row r="599" spans="1:6" s="33" customFormat="1" ht="15">
      <c r="A599" s="158"/>
      <c r="B599" s="148"/>
      <c r="C599" s="111"/>
      <c r="D599" s="111"/>
      <c r="E599" s="32"/>
      <c r="F599"/>
    </row>
    <row r="600" spans="1:6" s="33" customFormat="1" ht="15">
      <c r="A600" s="158"/>
      <c r="B600" s="148"/>
      <c r="C600" s="111"/>
      <c r="D600" s="111"/>
      <c r="E600" s="32"/>
      <c r="F600"/>
    </row>
    <row r="601" spans="1:6" s="33" customFormat="1" ht="15">
      <c r="A601" s="158"/>
      <c r="B601" s="148"/>
      <c r="C601" s="111"/>
      <c r="D601" s="111"/>
      <c r="E601" s="32"/>
      <c r="F601"/>
    </row>
    <row r="602" spans="1:6" s="33" customFormat="1" ht="15">
      <c r="A602" s="158"/>
      <c r="B602" s="148"/>
      <c r="C602" s="111"/>
      <c r="D602" s="111"/>
      <c r="E602" s="32"/>
      <c r="F602"/>
    </row>
    <row r="603" spans="1:6" s="33" customFormat="1" ht="15">
      <c r="A603" s="158"/>
      <c r="B603" s="148"/>
      <c r="C603" s="111"/>
      <c r="D603" s="111"/>
      <c r="E603" s="32"/>
      <c r="F603"/>
    </row>
    <row r="604" spans="1:6" s="33" customFormat="1" ht="15">
      <c r="A604" s="158"/>
      <c r="B604" s="148"/>
      <c r="C604" s="111"/>
      <c r="D604" s="111"/>
      <c r="E604" s="32"/>
      <c r="F604"/>
    </row>
    <row r="605" spans="1:6" s="33" customFormat="1" ht="15">
      <c r="A605" s="158"/>
      <c r="B605" s="148"/>
      <c r="C605" s="111"/>
      <c r="D605" s="111"/>
      <c r="E605" s="32"/>
      <c r="F605"/>
    </row>
    <row r="606" spans="1:6" s="33" customFormat="1" ht="15">
      <c r="A606" s="158"/>
      <c r="B606" s="148"/>
      <c r="C606" s="111"/>
      <c r="D606" s="111"/>
      <c r="E606" s="32"/>
      <c r="F606"/>
    </row>
    <row r="607" spans="1:6" s="33" customFormat="1" ht="15">
      <c r="A607" s="158"/>
      <c r="B607" s="148"/>
      <c r="C607" s="111"/>
      <c r="D607" s="111"/>
      <c r="E607" s="32"/>
      <c r="F607"/>
    </row>
    <row r="608" spans="1:6" s="33" customFormat="1" ht="15">
      <c r="A608" s="158"/>
      <c r="B608" s="148"/>
      <c r="C608" s="111"/>
      <c r="D608" s="111"/>
      <c r="E608" s="32"/>
      <c r="F608"/>
    </row>
    <row r="609" spans="1:6" s="33" customFormat="1" ht="15">
      <c r="A609" s="158"/>
      <c r="B609" s="148"/>
      <c r="C609" s="111"/>
      <c r="D609" s="111"/>
      <c r="E609" s="32"/>
      <c r="F609"/>
    </row>
    <row r="610" spans="1:6" s="33" customFormat="1" ht="15">
      <c r="A610" s="158"/>
      <c r="B610" s="148"/>
      <c r="C610" s="111"/>
      <c r="D610" s="111"/>
      <c r="E610" s="32"/>
      <c r="F610"/>
    </row>
    <row r="611" spans="1:6" s="33" customFormat="1" ht="15">
      <c r="A611" s="158"/>
      <c r="B611" s="148"/>
      <c r="C611" s="111"/>
      <c r="D611" s="111"/>
      <c r="E611" s="32"/>
      <c r="F611"/>
    </row>
    <row r="612" spans="1:6" s="33" customFormat="1" ht="15">
      <c r="A612" s="158"/>
      <c r="B612" s="148"/>
      <c r="C612" s="111"/>
      <c r="D612" s="111"/>
      <c r="E612" s="32"/>
      <c r="F612"/>
    </row>
    <row r="613" spans="1:6" s="33" customFormat="1" ht="15">
      <c r="A613" s="158"/>
      <c r="B613" s="148"/>
      <c r="C613" s="111"/>
      <c r="D613" s="111"/>
      <c r="E613" s="32"/>
      <c r="F613"/>
    </row>
    <row r="614" spans="1:6" s="33" customFormat="1" ht="15">
      <c r="A614" s="158"/>
      <c r="B614" s="148"/>
      <c r="C614" s="111"/>
      <c r="D614" s="111"/>
      <c r="E614" s="32"/>
      <c r="F614"/>
    </row>
    <row r="615" spans="1:6" s="33" customFormat="1" ht="15">
      <c r="A615" s="158"/>
      <c r="B615" s="148"/>
      <c r="C615" s="111"/>
      <c r="D615" s="111"/>
      <c r="E615" s="32"/>
      <c r="F615"/>
    </row>
    <row r="616" spans="1:6" s="33" customFormat="1" ht="15">
      <c r="A616" s="158"/>
      <c r="B616" s="148"/>
      <c r="C616" s="111"/>
      <c r="D616" s="111"/>
      <c r="E616" s="32"/>
      <c r="F616"/>
    </row>
    <row r="617" spans="1:6" s="33" customFormat="1" ht="15">
      <c r="A617" s="158"/>
      <c r="B617" s="148"/>
      <c r="C617" s="111"/>
      <c r="D617" s="111"/>
      <c r="E617" s="32"/>
      <c r="F617"/>
    </row>
    <row r="618" spans="1:6" s="33" customFormat="1" ht="15">
      <c r="A618" s="158"/>
      <c r="B618" s="148"/>
      <c r="C618" s="111"/>
      <c r="D618" s="111"/>
      <c r="E618" s="32"/>
      <c r="F618"/>
    </row>
    <row r="619" spans="1:6" s="33" customFormat="1" ht="15">
      <c r="A619" s="158"/>
      <c r="B619" s="148"/>
      <c r="C619" s="111"/>
      <c r="D619" s="111"/>
      <c r="E619" s="32"/>
      <c r="F619"/>
    </row>
    <row r="620" spans="1:6" s="33" customFormat="1" ht="15">
      <c r="A620" s="158"/>
      <c r="B620" s="148"/>
      <c r="C620" s="111"/>
      <c r="D620" s="111"/>
      <c r="E620" s="32"/>
      <c r="F620"/>
    </row>
    <row r="621" spans="1:6" s="33" customFormat="1" ht="15">
      <c r="A621" s="158"/>
      <c r="B621" s="148"/>
      <c r="C621" s="111"/>
      <c r="D621" s="111"/>
      <c r="E621" s="32"/>
      <c r="F621"/>
    </row>
    <row r="622" spans="1:6" s="33" customFormat="1" ht="15">
      <c r="A622" s="158"/>
      <c r="B622" s="148"/>
      <c r="C622" s="111"/>
      <c r="D622" s="111"/>
      <c r="E622" s="32"/>
      <c r="F622"/>
    </row>
    <row r="623" spans="1:6" s="33" customFormat="1" ht="15">
      <c r="A623" s="158"/>
      <c r="B623" s="148"/>
      <c r="C623" s="111"/>
      <c r="D623" s="111"/>
      <c r="E623" s="32"/>
      <c r="F623"/>
    </row>
    <row r="624" spans="1:6" s="33" customFormat="1" ht="15">
      <c r="A624" s="158"/>
      <c r="B624" s="148"/>
      <c r="C624" s="111"/>
      <c r="D624" s="111"/>
      <c r="E624" s="32"/>
      <c r="F624"/>
    </row>
    <row r="625" spans="1:6" s="33" customFormat="1" ht="15">
      <c r="A625" s="158"/>
      <c r="B625" s="148"/>
      <c r="C625" s="111"/>
      <c r="D625" s="111"/>
      <c r="E625" s="32"/>
      <c r="F625"/>
    </row>
    <row r="626" spans="1:6" s="33" customFormat="1" ht="15">
      <c r="A626" s="158"/>
      <c r="B626" s="148"/>
      <c r="C626" s="111"/>
      <c r="D626" s="111"/>
      <c r="E626" s="32"/>
      <c r="F626"/>
    </row>
    <row r="627" spans="1:6" s="33" customFormat="1" ht="15">
      <c r="A627" s="158"/>
      <c r="B627" s="148"/>
      <c r="C627" s="111"/>
      <c r="D627" s="111"/>
      <c r="E627" s="32"/>
      <c r="F627"/>
    </row>
    <row r="628" spans="1:6" s="33" customFormat="1" ht="15">
      <c r="A628" s="158"/>
      <c r="B628" s="148"/>
      <c r="C628" s="111"/>
      <c r="D628" s="111"/>
      <c r="E628" s="32"/>
      <c r="F628"/>
    </row>
    <row r="629" spans="1:6" s="33" customFormat="1" ht="15">
      <c r="A629" s="158"/>
      <c r="B629" s="148"/>
      <c r="C629" s="111"/>
      <c r="D629" s="111"/>
      <c r="E629" s="32"/>
      <c r="F629"/>
    </row>
    <row r="630" spans="1:6" s="33" customFormat="1" ht="15">
      <c r="A630" s="158"/>
      <c r="B630" s="148"/>
      <c r="C630" s="111"/>
      <c r="D630" s="111"/>
      <c r="E630" s="32"/>
      <c r="F630"/>
    </row>
    <row r="631" spans="1:6" s="33" customFormat="1" ht="15">
      <c r="A631" s="158"/>
      <c r="B631" s="148"/>
      <c r="C631" s="111"/>
      <c r="D631" s="111"/>
      <c r="E631" s="32"/>
      <c r="F631"/>
    </row>
    <row r="632" spans="1:6" s="33" customFormat="1" ht="15">
      <c r="A632" s="158"/>
      <c r="B632" s="148"/>
      <c r="C632" s="111"/>
      <c r="D632" s="111"/>
      <c r="E632" s="32"/>
      <c r="F632"/>
    </row>
    <row r="633" spans="1:6" s="33" customFormat="1" ht="15">
      <c r="A633" s="158"/>
      <c r="B633" s="148"/>
      <c r="C633" s="111"/>
      <c r="D633" s="111"/>
      <c r="E633" s="32"/>
      <c r="F633"/>
    </row>
    <row r="634" spans="1:6" s="33" customFormat="1" ht="15">
      <c r="A634" s="158"/>
      <c r="B634" s="148"/>
      <c r="C634" s="111"/>
      <c r="D634" s="111"/>
      <c r="E634" s="32"/>
      <c r="F634"/>
    </row>
    <row r="635" spans="1:6" s="33" customFormat="1" ht="15">
      <c r="A635" s="158"/>
      <c r="B635" s="148"/>
      <c r="C635" s="111"/>
      <c r="D635" s="111"/>
      <c r="E635" s="32"/>
      <c r="F635"/>
    </row>
    <row r="636" spans="1:6" s="33" customFormat="1" ht="15">
      <c r="A636" s="158"/>
      <c r="B636" s="148"/>
      <c r="C636" s="111"/>
      <c r="D636" s="111"/>
      <c r="E636" s="32"/>
      <c r="F636"/>
    </row>
    <row r="637" spans="1:6" s="33" customFormat="1" ht="15">
      <c r="A637" s="158"/>
      <c r="B637" s="148"/>
      <c r="C637" s="111"/>
      <c r="D637" s="111"/>
      <c r="E637" s="32"/>
      <c r="F637"/>
    </row>
    <row r="638" spans="1:6" s="33" customFormat="1" ht="15">
      <c r="A638" s="158"/>
      <c r="B638" s="148"/>
      <c r="C638" s="111"/>
      <c r="D638" s="111"/>
      <c r="E638" s="32"/>
      <c r="F638"/>
    </row>
    <row r="639" spans="1:6" s="33" customFormat="1" ht="15">
      <c r="A639" s="158"/>
      <c r="B639" s="148"/>
      <c r="C639" s="111"/>
      <c r="D639" s="111"/>
      <c r="E639" s="32"/>
      <c r="F639"/>
    </row>
    <row r="640" spans="1:6" s="33" customFormat="1" ht="15">
      <c r="A640" s="158"/>
      <c r="B640" s="148"/>
      <c r="C640" s="111"/>
      <c r="D640" s="111"/>
      <c r="E640" s="32"/>
      <c r="F640"/>
    </row>
    <row r="641" spans="1:6" s="33" customFormat="1" ht="15">
      <c r="A641" s="158"/>
      <c r="B641" s="148"/>
      <c r="C641" s="111"/>
      <c r="D641" s="111"/>
      <c r="E641" s="32"/>
      <c r="F641"/>
    </row>
    <row r="642" spans="1:6" s="33" customFormat="1" ht="15">
      <c r="A642" s="158"/>
      <c r="B642" s="148"/>
      <c r="C642" s="111"/>
      <c r="D642" s="111"/>
      <c r="E642" s="32"/>
      <c r="F642"/>
    </row>
    <row r="643" spans="1:6" s="33" customFormat="1" ht="15">
      <c r="A643" s="158"/>
      <c r="B643" s="148"/>
      <c r="C643" s="111"/>
      <c r="D643" s="111"/>
      <c r="E643" s="32"/>
      <c r="F643"/>
    </row>
    <row r="644" spans="1:6" s="33" customFormat="1" ht="15">
      <c r="A644" s="158"/>
      <c r="B644" s="148"/>
      <c r="C644" s="111"/>
      <c r="D644" s="111"/>
      <c r="E644" s="32"/>
      <c r="F644"/>
    </row>
    <row r="645" spans="1:6" s="33" customFormat="1" ht="15">
      <c r="A645" s="158"/>
      <c r="B645" s="148"/>
      <c r="C645" s="111"/>
      <c r="D645" s="111"/>
      <c r="E645" s="32"/>
      <c r="F645"/>
    </row>
    <row r="646" spans="1:6" s="33" customFormat="1" ht="15">
      <c r="A646" s="158"/>
      <c r="B646" s="148"/>
      <c r="C646" s="111"/>
      <c r="D646" s="111"/>
      <c r="E646" s="32"/>
      <c r="F646"/>
    </row>
    <row r="647" spans="1:6" s="33" customFormat="1" ht="15">
      <c r="A647" s="158"/>
      <c r="B647" s="148"/>
      <c r="C647" s="111"/>
      <c r="D647" s="111"/>
      <c r="E647" s="32"/>
      <c r="F647"/>
    </row>
    <row r="648" spans="1:6" s="33" customFormat="1" ht="15">
      <c r="A648" s="158"/>
      <c r="B648" s="148"/>
      <c r="C648" s="111"/>
      <c r="D648" s="111"/>
      <c r="E648" s="32"/>
      <c r="F648"/>
    </row>
    <row r="649" spans="1:6" s="33" customFormat="1" ht="15">
      <c r="A649" s="158"/>
      <c r="B649" s="148"/>
      <c r="C649" s="111"/>
      <c r="D649" s="111"/>
      <c r="E649" s="32"/>
      <c r="F649"/>
    </row>
    <row r="650" spans="1:6" s="33" customFormat="1" ht="15">
      <c r="A650" s="158"/>
      <c r="B650" s="148"/>
      <c r="C650" s="111"/>
      <c r="D650" s="111"/>
      <c r="E650" s="32"/>
      <c r="F650"/>
    </row>
    <row r="651" spans="1:6" s="33" customFormat="1" ht="15">
      <c r="A651" s="158"/>
      <c r="B651" s="148"/>
      <c r="C651" s="111"/>
      <c r="D651" s="111"/>
      <c r="E651" s="32"/>
      <c r="F651"/>
    </row>
    <row r="652" spans="1:6" s="33" customFormat="1" ht="15">
      <c r="A652" s="158"/>
      <c r="B652" s="148"/>
      <c r="C652" s="111"/>
      <c r="D652" s="111"/>
      <c r="E652" s="32"/>
      <c r="F652"/>
    </row>
    <row r="653" spans="1:6" s="33" customFormat="1" ht="15">
      <c r="A653" s="158"/>
      <c r="B653" s="148"/>
      <c r="C653" s="111"/>
      <c r="D653" s="111"/>
      <c r="E653" s="32"/>
      <c r="F653"/>
    </row>
    <row r="654" spans="1:6" s="33" customFormat="1" ht="15">
      <c r="A654" s="158"/>
      <c r="B654" s="148"/>
      <c r="C654" s="111"/>
      <c r="D654" s="111"/>
      <c r="E654" s="32"/>
      <c r="F654"/>
    </row>
    <row r="655" spans="1:6" s="33" customFormat="1" ht="15">
      <c r="A655" s="158"/>
      <c r="B655" s="148"/>
      <c r="C655" s="111"/>
      <c r="D655" s="111"/>
      <c r="E655" s="32"/>
      <c r="F655"/>
    </row>
    <row r="656" spans="1:6" s="33" customFormat="1" ht="15">
      <c r="A656" s="158"/>
      <c r="B656" s="148"/>
      <c r="C656" s="111"/>
      <c r="D656" s="111"/>
      <c r="E656" s="32"/>
      <c r="F656"/>
    </row>
    <row r="657" spans="1:6" s="33" customFormat="1" ht="15">
      <c r="A657" s="158"/>
      <c r="B657" s="148"/>
      <c r="C657" s="111"/>
      <c r="D657" s="111"/>
      <c r="E657" s="32"/>
      <c r="F657"/>
    </row>
    <row r="658" spans="1:6" s="33" customFormat="1" ht="15">
      <c r="A658" s="158"/>
      <c r="B658" s="148"/>
      <c r="C658" s="111"/>
      <c r="D658" s="111"/>
      <c r="E658" s="32"/>
      <c r="F658"/>
    </row>
    <row r="659" spans="1:6" s="33" customFormat="1" ht="15">
      <c r="A659" s="158"/>
      <c r="B659" s="148"/>
      <c r="C659" s="111"/>
      <c r="D659" s="111"/>
      <c r="E659" s="32"/>
      <c r="F659"/>
    </row>
    <row r="660" spans="1:6" s="33" customFormat="1" ht="15">
      <c r="A660" s="158"/>
      <c r="B660" s="148"/>
      <c r="C660" s="111"/>
      <c r="D660" s="111"/>
      <c r="E660" s="32"/>
      <c r="F660"/>
    </row>
    <row r="661" spans="1:6" s="33" customFormat="1" ht="15">
      <c r="A661" s="158"/>
      <c r="B661" s="148"/>
      <c r="C661" s="111"/>
      <c r="D661" s="111"/>
      <c r="E661" s="32"/>
      <c r="F661"/>
    </row>
    <row r="662" spans="1:6" s="33" customFormat="1" ht="15">
      <c r="A662" s="158"/>
      <c r="B662" s="148"/>
      <c r="C662" s="111"/>
      <c r="D662" s="111"/>
      <c r="E662" s="32"/>
      <c r="F662"/>
    </row>
    <row r="663" spans="1:6" s="33" customFormat="1" ht="15">
      <c r="A663" s="158"/>
      <c r="B663" s="148"/>
      <c r="C663" s="111"/>
      <c r="D663" s="111"/>
      <c r="E663" s="32"/>
      <c r="F663"/>
    </row>
    <row r="664" spans="1:6" s="33" customFormat="1" ht="15">
      <c r="A664" s="158"/>
      <c r="B664" s="148"/>
      <c r="C664" s="111"/>
      <c r="D664" s="111"/>
      <c r="E664" s="32"/>
      <c r="F664"/>
    </row>
    <row r="665" spans="1:6" s="33" customFormat="1" ht="15">
      <c r="A665" s="158"/>
      <c r="B665" s="148"/>
      <c r="C665" s="111"/>
      <c r="D665" s="111"/>
      <c r="E665" s="32"/>
      <c r="F665"/>
    </row>
    <row r="666" spans="1:6" s="33" customFormat="1" ht="15">
      <c r="A666" s="158"/>
      <c r="B666" s="148"/>
      <c r="C666" s="111"/>
      <c r="D666" s="111"/>
      <c r="E666" s="32"/>
      <c r="F666"/>
    </row>
    <row r="667" spans="1:6" s="33" customFormat="1" ht="15">
      <c r="A667" s="158"/>
      <c r="B667" s="148"/>
      <c r="C667" s="111"/>
      <c r="D667" s="111"/>
      <c r="E667" s="32"/>
      <c r="F667"/>
    </row>
    <row r="668" spans="1:6" s="33" customFormat="1" ht="15">
      <c r="A668" s="158"/>
      <c r="B668" s="148"/>
      <c r="C668" s="111"/>
      <c r="D668" s="111"/>
      <c r="E668" s="32"/>
      <c r="F668"/>
    </row>
    <row r="669" spans="1:6" s="33" customFormat="1" ht="15">
      <c r="A669" s="158"/>
      <c r="B669" s="148"/>
      <c r="C669" s="111"/>
      <c r="D669" s="111"/>
      <c r="E669" s="32"/>
      <c r="F669"/>
    </row>
    <row r="670" spans="1:6" s="33" customFormat="1" ht="15">
      <c r="A670" s="158"/>
      <c r="B670" s="148"/>
      <c r="C670" s="111"/>
      <c r="D670" s="111"/>
      <c r="E670" s="32"/>
      <c r="F670"/>
    </row>
    <row r="671" spans="1:6" s="33" customFormat="1" ht="15">
      <c r="A671" s="158"/>
      <c r="B671" s="148"/>
      <c r="C671" s="111"/>
      <c r="D671" s="111"/>
      <c r="E671" s="32"/>
      <c r="F671"/>
    </row>
    <row r="672" spans="1:6" s="33" customFormat="1" ht="15">
      <c r="A672" s="158"/>
      <c r="B672" s="148"/>
      <c r="C672" s="111"/>
      <c r="D672" s="111"/>
      <c r="E672" s="32"/>
      <c r="F672"/>
    </row>
    <row r="673" spans="1:6" s="33" customFormat="1" ht="15">
      <c r="A673" s="158"/>
      <c r="B673" s="148"/>
      <c r="C673" s="111"/>
      <c r="D673" s="111"/>
      <c r="E673" s="32"/>
      <c r="F673"/>
    </row>
    <row r="674" spans="1:6" s="33" customFormat="1" ht="15">
      <c r="A674" s="158"/>
      <c r="B674" s="148"/>
      <c r="C674" s="111"/>
      <c r="D674" s="111"/>
      <c r="E674" s="32"/>
      <c r="F674"/>
    </row>
    <row r="675" spans="1:6" s="33" customFormat="1" ht="15">
      <c r="A675" s="158"/>
      <c r="B675" s="148"/>
      <c r="C675" s="111"/>
      <c r="D675" s="111"/>
      <c r="E675" s="32"/>
      <c r="F675"/>
    </row>
    <row r="676" spans="1:6" s="33" customFormat="1" ht="15">
      <c r="A676" s="158"/>
      <c r="B676" s="148"/>
      <c r="C676" s="111"/>
      <c r="D676" s="111"/>
      <c r="E676" s="32"/>
      <c r="F676"/>
    </row>
    <row r="677" spans="1:6" s="33" customFormat="1" ht="15">
      <c r="A677" s="158"/>
      <c r="B677" s="148"/>
      <c r="C677" s="111"/>
      <c r="D677" s="111"/>
      <c r="E677" s="32"/>
      <c r="F677"/>
    </row>
    <row r="678" spans="1:6" s="33" customFormat="1" ht="15">
      <c r="A678" s="158"/>
      <c r="B678" s="148"/>
      <c r="C678" s="111"/>
      <c r="D678" s="111"/>
      <c r="E678" s="32"/>
      <c r="F678"/>
    </row>
    <row r="679" spans="1:6" s="33" customFormat="1" ht="15">
      <c r="A679" s="158"/>
      <c r="B679" s="148"/>
      <c r="C679" s="111"/>
      <c r="D679" s="111"/>
      <c r="E679" s="32"/>
      <c r="F679"/>
    </row>
    <row r="680" spans="1:6" s="33" customFormat="1" ht="15">
      <c r="A680" s="158"/>
      <c r="B680" s="148"/>
      <c r="C680" s="111"/>
      <c r="D680" s="111"/>
      <c r="E680" s="32"/>
      <c r="F680"/>
    </row>
    <row r="681" spans="1:6" s="33" customFormat="1" ht="15">
      <c r="A681" s="158"/>
      <c r="B681" s="148"/>
      <c r="C681" s="111"/>
      <c r="D681" s="111"/>
      <c r="E681" s="32"/>
      <c r="F681"/>
    </row>
    <row r="682" spans="1:6" s="33" customFormat="1" ht="15">
      <c r="A682" s="158"/>
      <c r="B682" s="148"/>
      <c r="C682" s="111"/>
      <c r="D682" s="111"/>
      <c r="E682" s="32"/>
      <c r="F682"/>
    </row>
    <row r="683" spans="1:6" s="33" customFormat="1" ht="15">
      <c r="A683" s="158"/>
      <c r="B683" s="148"/>
      <c r="C683" s="111"/>
      <c r="D683" s="111"/>
      <c r="E683" s="32"/>
      <c r="F683"/>
    </row>
    <row r="684" spans="1:6" s="33" customFormat="1" ht="15">
      <c r="A684" s="158"/>
      <c r="B684" s="148"/>
      <c r="C684" s="111"/>
      <c r="D684" s="111"/>
      <c r="E684" s="32"/>
      <c r="F684"/>
    </row>
    <row r="685" spans="1:6" s="33" customFormat="1" ht="15">
      <c r="A685" s="158"/>
      <c r="B685" s="148"/>
      <c r="C685" s="111"/>
      <c r="D685" s="111"/>
      <c r="E685" s="32"/>
      <c r="F685"/>
    </row>
    <row r="686" spans="1:6" s="33" customFormat="1" ht="15">
      <c r="A686" s="158"/>
      <c r="B686" s="148"/>
      <c r="C686" s="111"/>
      <c r="D686" s="111"/>
      <c r="E686" s="32"/>
      <c r="F686"/>
    </row>
    <row r="687" spans="1:6" s="33" customFormat="1" ht="15">
      <c r="A687" s="158"/>
      <c r="B687" s="148"/>
      <c r="C687" s="111"/>
      <c r="D687" s="111"/>
      <c r="E687" s="32"/>
      <c r="F687"/>
    </row>
    <row r="688" spans="1:6" s="33" customFormat="1" ht="15">
      <c r="A688" s="158"/>
      <c r="B688" s="148"/>
      <c r="C688" s="111"/>
      <c r="D688" s="111"/>
      <c r="E688" s="32"/>
      <c r="F688"/>
    </row>
    <row r="689" spans="1:6" s="33" customFormat="1" ht="15">
      <c r="A689" s="158"/>
      <c r="B689" s="148"/>
      <c r="C689" s="111"/>
      <c r="D689" s="111"/>
      <c r="E689" s="32"/>
      <c r="F689"/>
    </row>
    <row r="690" spans="1:6" s="33" customFormat="1" ht="15">
      <c r="A690" s="158"/>
      <c r="B690" s="148"/>
      <c r="C690" s="111"/>
      <c r="D690" s="111"/>
      <c r="E690" s="32"/>
      <c r="F690"/>
    </row>
    <row r="691" spans="1:6" s="33" customFormat="1" ht="15">
      <c r="A691" s="158"/>
      <c r="B691" s="148"/>
      <c r="C691" s="111"/>
      <c r="D691" s="111"/>
      <c r="E691" s="32"/>
      <c r="F691"/>
    </row>
    <row r="692" spans="1:6" s="33" customFormat="1" ht="15">
      <c r="A692" s="158"/>
      <c r="B692" s="148"/>
      <c r="C692" s="111"/>
      <c r="D692" s="111"/>
      <c r="E692" s="32"/>
      <c r="F692"/>
    </row>
    <row r="693" spans="1:6" s="33" customFormat="1" ht="15">
      <c r="A693" s="158"/>
      <c r="B693" s="148"/>
      <c r="C693" s="111"/>
      <c r="D693" s="111"/>
      <c r="E693" s="32"/>
      <c r="F693"/>
    </row>
    <row r="694" spans="1:6" s="33" customFormat="1" ht="15">
      <c r="A694" s="158"/>
      <c r="B694" s="148"/>
      <c r="C694" s="111"/>
      <c r="D694" s="111"/>
      <c r="E694" s="32"/>
      <c r="F694"/>
    </row>
    <row r="695" spans="1:6" s="33" customFormat="1" ht="15">
      <c r="A695" s="158"/>
      <c r="B695" s="148"/>
      <c r="C695" s="111"/>
      <c r="D695" s="111"/>
      <c r="E695" s="32"/>
      <c r="F695"/>
    </row>
    <row r="696" spans="1:6" s="33" customFormat="1" ht="15">
      <c r="A696" s="158"/>
      <c r="B696" s="148"/>
      <c r="C696" s="111"/>
      <c r="D696" s="111"/>
      <c r="E696" s="32"/>
      <c r="F696"/>
    </row>
    <row r="697" spans="1:6" s="33" customFormat="1" ht="15">
      <c r="A697" s="158"/>
      <c r="B697" s="148"/>
      <c r="C697" s="111"/>
      <c r="D697" s="111"/>
      <c r="E697" s="32"/>
      <c r="F697"/>
    </row>
    <row r="698" spans="1:6" s="33" customFormat="1" ht="15">
      <c r="A698" s="158"/>
      <c r="B698" s="148"/>
      <c r="C698" s="111"/>
      <c r="D698" s="111"/>
      <c r="E698" s="32"/>
      <c r="F698"/>
    </row>
    <row r="699" spans="1:6" s="33" customFormat="1" ht="15">
      <c r="A699" s="158"/>
      <c r="B699" s="148"/>
      <c r="C699" s="111"/>
      <c r="D699" s="111"/>
      <c r="E699" s="32"/>
      <c r="F699"/>
    </row>
    <row r="700" spans="1:6" s="33" customFormat="1" ht="15">
      <c r="A700" s="158"/>
      <c r="B700" s="148"/>
      <c r="C700" s="111"/>
      <c r="D700" s="111"/>
      <c r="E700" s="32"/>
      <c r="F700"/>
    </row>
    <row r="701" spans="1:6" s="33" customFormat="1" ht="15">
      <c r="A701" s="158"/>
      <c r="B701" s="148"/>
      <c r="C701" s="111"/>
      <c r="D701" s="111"/>
      <c r="E701" s="32"/>
      <c r="F701"/>
    </row>
    <row r="702" spans="1:6" s="33" customFormat="1" ht="15">
      <c r="A702" s="158"/>
      <c r="B702" s="148"/>
      <c r="C702" s="111"/>
      <c r="D702" s="111"/>
      <c r="E702" s="32"/>
      <c r="F702"/>
    </row>
    <row r="703" spans="1:6" s="33" customFormat="1" ht="15">
      <c r="A703" s="158"/>
      <c r="B703" s="148"/>
      <c r="C703" s="111"/>
      <c r="D703" s="111"/>
      <c r="E703" s="32"/>
      <c r="F703"/>
    </row>
    <row r="704" spans="1:6" s="33" customFormat="1" ht="15">
      <c r="A704" s="158"/>
      <c r="B704" s="148"/>
      <c r="C704" s="111"/>
      <c r="D704" s="111"/>
      <c r="E704" s="32"/>
      <c r="F704"/>
    </row>
    <row r="705" spans="1:6" s="33" customFormat="1" ht="15">
      <c r="A705" s="158"/>
      <c r="B705" s="148"/>
      <c r="C705" s="111"/>
      <c r="D705" s="111"/>
      <c r="E705" s="32"/>
      <c r="F705"/>
    </row>
    <row r="706" spans="1:6" s="33" customFormat="1" ht="15">
      <c r="A706" s="158"/>
      <c r="B706" s="148"/>
      <c r="C706" s="111"/>
      <c r="D706" s="111"/>
      <c r="E706" s="32"/>
      <c r="F706"/>
    </row>
    <row r="707" spans="1:6" s="33" customFormat="1" ht="15">
      <c r="A707" s="158"/>
      <c r="B707" s="148"/>
      <c r="C707" s="111"/>
      <c r="D707" s="111"/>
      <c r="E707" s="32"/>
      <c r="F707"/>
    </row>
    <row r="708" spans="1:6" s="33" customFormat="1" ht="15">
      <c r="A708" s="158"/>
      <c r="B708" s="148"/>
      <c r="C708" s="111"/>
      <c r="D708" s="111"/>
      <c r="E708" s="32"/>
      <c r="F708"/>
    </row>
    <row r="709" spans="1:6" s="33" customFormat="1" ht="15">
      <c r="A709" s="158"/>
      <c r="B709" s="148"/>
      <c r="C709" s="111"/>
      <c r="D709" s="111"/>
      <c r="E709" s="32"/>
      <c r="F709"/>
    </row>
    <row r="710" spans="1:6" s="33" customFormat="1" ht="15">
      <c r="A710" s="158"/>
      <c r="B710" s="148"/>
      <c r="C710" s="111"/>
      <c r="D710" s="111"/>
      <c r="E710" s="32"/>
      <c r="F710"/>
    </row>
    <row r="711" spans="1:6" s="33" customFormat="1" ht="15">
      <c r="A711" s="158"/>
      <c r="B711" s="148"/>
      <c r="C711" s="111"/>
      <c r="D711" s="111"/>
      <c r="E711" s="32"/>
      <c r="F711"/>
    </row>
    <row r="712" spans="1:6" s="33" customFormat="1" ht="15">
      <c r="A712" s="158"/>
      <c r="B712" s="148"/>
      <c r="C712" s="111"/>
      <c r="D712" s="111"/>
      <c r="E712" s="32"/>
      <c r="F712"/>
    </row>
    <row r="713" spans="1:6" s="33" customFormat="1" ht="15">
      <c r="A713" s="158"/>
      <c r="B713" s="148"/>
      <c r="C713" s="111"/>
      <c r="D713" s="111"/>
      <c r="E713" s="32"/>
      <c r="F713"/>
    </row>
    <row r="714" spans="1:6" s="33" customFormat="1" ht="15">
      <c r="A714" s="158"/>
      <c r="B714" s="148"/>
      <c r="C714" s="111"/>
      <c r="D714" s="111"/>
      <c r="E714" s="32"/>
      <c r="F714"/>
    </row>
    <row r="715" spans="1:6" s="33" customFormat="1" ht="15">
      <c r="A715" s="158"/>
      <c r="B715" s="148"/>
      <c r="C715" s="111"/>
      <c r="D715" s="111"/>
      <c r="E715" s="32"/>
      <c r="F715"/>
    </row>
    <row r="716" spans="1:6" s="33" customFormat="1" ht="15">
      <c r="A716" s="158"/>
      <c r="B716" s="148"/>
      <c r="C716" s="111"/>
      <c r="D716" s="111"/>
      <c r="E716" s="32"/>
      <c r="F716"/>
    </row>
    <row r="717" spans="1:6" s="33" customFormat="1" ht="15">
      <c r="A717" s="158"/>
      <c r="B717" s="148"/>
      <c r="C717" s="111"/>
      <c r="D717" s="111"/>
      <c r="E717" s="32"/>
      <c r="F717"/>
    </row>
    <row r="718" spans="1:6" s="33" customFormat="1" ht="15">
      <c r="A718" s="158"/>
      <c r="B718" s="148"/>
      <c r="C718" s="111"/>
      <c r="D718" s="111"/>
      <c r="E718" s="32"/>
      <c r="F718"/>
    </row>
    <row r="719" spans="1:6" s="33" customFormat="1" ht="15">
      <c r="A719" s="158"/>
      <c r="B719" s="148"/>
      <c r="C719" s="111"/>
      <c r="D719" s="111"/>
      <c r="E719" s="32"/>
      <c r="F719"/>
    </row>
    <row r="720" spans="1:6" s="33" customFormat="1" ht="15">
      <c r="A720" s="158"/>
      <c r="B720" s="148"/>
      <c r="C720" s="111"/>
      <c r="D720" s="111"/>
      <c r="E720" s="32"/>
      <c r="F720"/>
    </row>
    <row r="721" spans="1:6" s="33" customFormat="1" ht="15">
      <c r="A721" s="158"/>
      <c r="B721" s="148"/>
      <c r="C721" s="111"/>
      <c r="D721" s="111"/>
      <c r="E721" s="32"/>
      <c r="F721"/>
    </row>
    <row r="722" spans="1:6" s="33" customFormat="1" ht="15">
      <c r="A722" s="158"/>
      <c r="B722" s="148"/>
      <c r="C722" s="111"/>
      <c r="D722" s="111"/>
      <c r="E722" s="32"/>
      <c r="F722"/>
    </row>
    <row r="723" spans="1:6" s="33" customFormat="1" ht="15">
      <c r="A723" s="158"/>
      <c r="B723" s="148"/>
      <c r="C723" s="111"/>
      <c r="D723" s="111"/>
      <c r="E723" s="32"/>
      <c r="F723"/>
    </row>
    <row r="724" spans="1:6" s="33" customFormat="1" ht="15">
      <c r="A724" s="158"/>
      <c r="B724" s="148"/>
      <c r="C724" s="111"/>
      <c r="D724" s="111"/>
      <c r="E724" s="32"/>
      <c r="F724"/>
    </row>
    <row r="725" spans="1:6" s="33" customFormat="1" ht="15">
      <c r="A725" s="158"/>
      <c r="B725" s="148"/>
      <c r="C725" s="111"/>
      <c r="D725" s="111"/>
      <c r="E725" s="32"/>
      <c r="F725"/>
    </row>
    <row r="726" spans="1:6" s="33" customFormat="1" ht="15">
      <c r="A726" s="158"/>
      <c r="B726" s="148"/>
      <c r="C726" s="111"/>
      <c r="D726" s="111"/>
      <c r="E726" s="32"/>
      <c r="F726"/>
    </row>
    <row r="727" spans="1:6" s="33" customFormat="1" ht="15">
      <c r="A727" s="158"/>
      <c r="B727" s="148"/>
      <c r="C727" s="111"/>
      <c r="D727" s="111"/>
      <c r="E727" s="32"/>
      <c r="F727"/>
    </row>
    <row r="728" spans="1:6" s="33" customFormat="1" ht="15">
      <c r="A728" s="158"/>
      <c r="B728" s="148"/>
      <c r="C728" s="111"/>
      <c r="D728" s="111"/>
      <c r="E728" s="32"/>
      <c r="F728"/>
    </row>
    <row r="729" spans="1:6" s="33" customFormat="1" ht="15">
      <c r="A729" s="158"/>
      <c r="B729" s="148"/>
      <c r="C729" s="111"/>
      <c r="D729" s="111"/>
      <c r="E729" s="32"/>
      <c r="F729"/>
    </row>
    <row r="730" spans="1:6" s="33" customFormat="1" ht="15">
      <c r="A730" s="158"/>
      <c r="B730" s="148"/>
      <c r="C730" s="111"/>
      <c r="D730" s="111"/>
      <c r="E730" s="32"/>
      <c r="F730"/>
    </row>
    <row r="731" spans="1:6" s="33" customFormat="1" ht="15">
      <c r="A731" s="158"/>
      <c r="B731" s="148"/>
      <c r="C731" s="111"/>
      <c r="D731" s="111"/>
      <c r="E731" s="32"/>
      <c r="F731"/>
    </row>
    <row r="732" spans="1:6" s="33" customFormat="1" ht="15">
      <c r="A732" s="158"/>
      <c r="B732" s="148"/>
      <c r="C732" s="111"/>
      <c r="D732" s="111"/>
      <c r="E732" s="32"/>
      <c r="F732"/>
    </row>
    <row r="733" spans="1:6" s="33" customFormat="1" ht="15">
      <c r="A733" s="158"/>
      <c r="B733" s="148"/>
      <c r="C733" s="111"/>
      <c r="D733" s="111"/>
      <c r="E733" s="32"/>
      <c r="F733"/>
    </row>
    <row r="734" spans="1:6" s="33" customFormat="1" ht="15">
      <c r="A734" s="158"/>
      <c r="B734" s="148"/>
      <c r="C734" s="111"/>
      <c r="D734" s="111"/>
      <c r="E734" s="32"/>
      <c r="F734"/>
    </row>
    <row r="735" spans="1:6" s="33" customFormat="1" ht="15">
      <c r="A735" s="158"/>
      <c r="B735" s="148"/>
      <c r="C735" s="111"/>
      <c r="D735" s="111"/>
      <c r="E735" s="32"/>
      <c r="F735"/>
    </row>
    <row r="736" spans="1:6" s="33" customFormat="1" ht="15">
      <c r="A736" s="158"/>
      <c r="B736" s="148"/>
      <c r="C736" s="111"/>
      <c r="D736" s="111"/>
      <c r="E736" s="32"/>
      <c r="F736"/>
    </row>
    <row r="737" spans="1:6" s="33" customFormat="1" ht="15">
      <c r="A737" s="158"/>
      <c r="B737" s="148"/>
      <c r="C737" s="111"/>
      <c r="D737" s="111"/>
      <c r="E737" s="32"/>
      <c r="F737"/>
    </row>
    <row r="738" spans="1:6" s="33" customFormat="1" ht="15">
      <c r="A738" s="158"/>
      <c r="B738" s="148"/>
      <c r="C738" s="111"/>
      <c r="D738" s="111"/>
      <c r="E738" s="32"/>
      <c r="F738"/>
    </row>
    <row r="739" spans="1:6" s="33" customFormat="1" ht="15">
      <c r="A739" s="158"/>
      <c r="B739" s="148"/>
      <c r="C739" s="111"/>
      <c r="D739" s="111"/>
      <c r="E739" s="32"/>
      <c r="F739"/>
    </row>
    <row r="740" spans="1:6" s="33" customFormat="1" ht="15">
      <c r="A740" s="158"/>
      <c r="B740" s="148"/>
      <c r="C740" s="111"/>
      <c r="D740" s="111"/>
      <c r="E740" s="32"/>
      <c r="F740"/>
    </row>
    <row r="741" spans="1:6" s="33" customFormat="1" ht="15">
      <c r="A741" s="158"/>
      <c r="B741" s="148"/>
      <c r="C741" s="111"/>
      <c r="D741" s="111"/>
      <c r="E741" s="32"/>
      <c r="F741"/>
    </row>
    <row r="742" spans="1:6" s="33" customFormat="1" ht="15">
      <c r="A742" s="158"/>
      <c r="B742" s="148"/>
      <c r="C742" s="111"/>
      <c r="D742" s="111"/>
      <c r="E742" s="32"/>
      <c r="F742"/>
    </row>
    <row r="743" spans="1:6" s="33" customFormat="1" ht="15">
      <c r="A743" s="158"/>
      <c r="B743" s="148"/>
      <c r="C743" s="111"/>
      <c r="D743" s="111"/>
      <c r="E743" s="32"/>
      <c r="F743"/>
    </row>
    <row r="744" spans="1:6" s="33" customFormat="1" ht="15">
      <c r="A744" s="158"/>
      <c r="B744" s="148"/>
      <c r="C744" s="111"/>
      <c r="D744" s="111"/>
      <c r="E744" s="32"/>
      <c r="F744"/>
    </row>
    <row r="745" spans="1:6" s="33" customFormat="1" ht="15">
      <c r="A745" s="158"/>
      <c r="B745" s="148"/>
      <c r="C745" s="111"/>
      <c r="D745" s="111"/>
      <c r="E745" s="32"/>
      <c r="F745"/>
    </row>
    <row r="746" spans="1:6" s="33" customFormat="1" ht="15">
      <c r="A746" s="158"/>
      <c r="B746" s="148"/>
      <c r="C746" s="111"/>
      <c r="D746" s="111"/>
      <c r="E746" s="32"/>
      <c r="F746"/>
    </row>
    <row r="747" spans="1:6" s="33" customFormat="1" ht="15">
      <c r="A747" s="158"/>
      <c r="B747" s="148"/>
      <c r="C747" s="111"/>
      <c r="D747" s="111"/>
      <c r="E747" s="32"/>
      <c r="F747"/>
    </row>
    <row r="748" spans="1:6" s="33" customFormat="1" ht="15">
      <c r="A748" s="158"/>
      <c r="B748" s="148"/>
      <c r="C748" s="111"/>
      <c r="D748" s="111"/>
      <c r="E748" s="32"/>
      <c r="F748"/>
    </row>
    <row r="749" spans="1:6" s="33" customFormat="1" ht="15">
      <c r="A749" s="158"/>
      <c r="B749" s="148"/>
      <c r="C749" s="111"/>
      <c r="D749" s="111"/>
      <c r="E749" s="32"/>
      <c r="F749"/>
    </row>
    <row r="750" spans="1:6" s="33" customFormat="1" ht="15">
      <c r="A750" s="158"/>
      <c r="B750" s="148"/>
      <c r="C750" s="111"/>
      <c r="D750" s="111"/>
      <c r="E750" s="32"/>
      <c r="F750"/>
    </row>
    <row r="751" spans="1:6" s="33" customFormat="1" ht="15">
      <c r="A751" s="158"/>
      <c r="B751" s="148"/>
      <c r="C751" s="111"/>
      <c r="D751" s="111"/>
      <c r="E751" s="32"/>
      <c r="F751"/>
    </row>
    <row r="752" spans="1:6" s="33" customFormat="1" ht="15">
      <c r="A752" s="158"/>
      <c r="B752" s="148"/>
      <c r="C752" s="111"/>
      <c r="D752" s="111"/>
      <c r="E752" s="32"/>
      <c r="F752"/>
    </row>
    <row r="753" spans="1:6" s="33" customFormat="1" ht="15">
      <c r="A753" s="158"/>
      <c r="B753" s="148"/>
      <c r="C753" s="111"/>
      <c r="D753" s="111"/>
      <c r="E753" s="32"/>
      <c r="F753"/>
    </row>
    <row r="754" spans="1:6" s="33" customFormat="1" ht="15">
      <c r="A754" s="158"/>
      <c r="B754" s="148"/>
      <c r="C754" s="111"/>
      <c r="D754" s="111"/>
      <c r="E754" s="32"/>
      <c r="F754"/>
    </row>
    <row r="755" spans="1:6" s="33" customFormat="1" ht="15">
      <c r="A755" s="158"/>
      <c r="B755" s="148"/>
      <c r="C755" s="111"/>
      <c r="D755" s="111"/>
      <c r="E755" s="32"/>
      <c r="F755"/>
    </row>
    <row r="756" spans="1:6" s="33" customFormat="1" ht="15">
      <c r="A756" s="158"/>
      <c r="B756" s="148"/>
      <c r="C756" s="111"/>
      <c r="D756" s="111"/>
      <c r="E756" s="32"/>
      <c r="F756"/>
    </row>
    <row r="757" spans="1:6" s="33" customFormat="1" ht="15">
      <c r="A757" s="158"/>
      <c r="B757" s="148"/>
      <c r="C757" s="111"/>
      <c r="D757" s="111"/>
      <c r="E757" s="32"/>
      <c r="F757"/>
    </row>
    <row r="758" spans="1:6" s="33" customFormat="1" ht="15">
      <c r="A758" s="158"/>
      <c r="B758" s="148"/>
      <c r="C758" s="111"/>
      <c r="D758" s="111"/>
      <c r="E758" s="32"/>
      <c r="F758"/>
    </row>
    <row r="759" spans="1:6" s="33" customFormat="1" ht="15">
      <c r="A759" s="158"/>
      <c r="B759" s="148"/>
      <c r="C759" s="111"/>
      <c r="D759" s="111"/>
      <c r="E759" s="32"/>
      <c r="F759"/>
    </row>
    <row r="760" spans="1:6" s="33" customFormat="1" ht="15">
      <c r="A760" s="158"/>
      <c r="B760" s="148"/>
      <c r="C760" s="111"/>
      <c r="D760" s="111"/>
      <c r="E760" s="32"/>
      <c r="F760"/>
    </row>
    <row r="761" spans="1:6" s="33" customFormat="1" ht="15">
      <c r="A761" s="158"/>
      <c r="B761" s="148"/>
      <c r="C761" s="111"/>
      <c r="D761" s="111"/>
      <c r="E761" s="32"/>
      <c r="F761"/>
    </row>
    <row r="762" spans="1:6" s="33" customFormat="1" ht="15">
      <c r="A762" s="158"/>
      <c r="B762" s="148"/>
      <c r="C762" s="111"/>
      <c r="D762" s="111"/>
      <c r="E762" s="32"/>
      <c r="F762"/>
    </row>
    <row r="763" spans="1:6" s="33" customFormat="1" ht="15">
      <c r="A763" s="158"/>
      <c r="B763" s="148"/>
      <c r="C763" s="111"/>
      <c r="D763" s="111"/>
      <c r="E763" s="32"/>
      <c r="F763"/>
    </row>
    <row r="764" spans="1:6" s="33" customFormat="1" ht="15">
      <c r="A764" s="158"/>
      <c r="B764" s="148"/>
      <c r="C764" s="111"/>
      <c r="D764" s="111"/>
      <c r="E764" s="32"/>
      <c r="F764"/>
    </row>
    <row r="765" spans="1:6" s="33" customFormat="1" ht="15">
      <c r="A765" s="158"/>
      <c r="B765" s="148"/>
      <c r="C765" s="111"/>
      <c r="D765" s="111"/>
      <c r="E765" s="32"/>
      <c r="F765"/>
    </row>
    <row r="766" spans="1:6" s="33" customFormat="1" ht="15">
      <c r="A766" s="158"/>
      <c r="B766" s="148"/>
      <c r="C766" s="111"/>
      <c r="D766" s="111"/>
      <c r="E766" s="32"/>
      <c r="F766"/>
    </row>
    <row r="767" spans="1:6" s="33" customFormat="1" ht="15">
      <c r="A767" s="158"/>
      <c r="B767" s="148"/>
      <c r="C767" s="111"/>
      <c r="D767" s="111"/>
      <c r="E767" s="32"/>
      <c r="F767"/>
    </row>
    <row r="768" spans="1:6" s="33" customFormat="1" ht="15">
      <c r="A768" s="158"/>
      <c r="B768" s="148"/>
      <c r="C768" s="111"/>
      <c r="D768" s="111"/>
      <c r="E768" s="32"/>
      <c r="F768"/>
    </row>
    <row r="769" spans="1:6" s="33" customFormat="1" ht="15">
      <c r="A769" s="158"/>
      <c r="B769" s="148"/>
      <c r="C769" s="111"/>
      <c r="D769" s="111"/>
      <c r="E769" s="32"/>
      <c r="F769"/>
    </row>
    <row r="770" spans="1:6" s="33" customFormat="1" ht="15">
      <c r="A770" s="158"/>
      <c r="B770" s="148"/>
      <c r="C770" s="111"/>
      <c r="D770" s="111"/>
      <c r="E770" s="32"/>
      <c r="F770"/>
    </row>
    <row r="771" spans="1:6" s="33" customFormat="1" ht="15">
      <c r="A771" s="158"/>
      <c r="B771" s="148"/>
      <c r="C771" s="111"/>
      <c r="D771" s="111"/>
      <c r="E771" s="32"/>
      <c r="F771"/>
    </row>
    <row r="772" spans="1:6" s="33" customFormat="1" ht="15">
      <c r="A772" s="158"/>
      <c r="B772" s="148"/>
      <c r="C772" s="111"/>
      <c r="D772" s="111"/>
      <c r="E772" s="32"/>
      <c r="F772"/>
    </row>
    <row r="773" spans="1:6" s="33" customFormat="1" ht="15">
      <c r="A773" s="158"/>
      <c r="B773" s="148"/>
      <c r="C773" s="111"/>
      <c r="D773" s="111"/>
      <c r="E773" s="32"/>
      <c r="F773"/>
    </row>
    <row r="774" spans="1:6" s="33" customFormat="1" ht="15">
      <c r="A774" s="158"/>
      <c r="B774" s="148"/>
      <c r="C774" s="111"/>
      <c r="D774" s="111"/>
      <c r="E774" s="32"/>
      <c r="F774"/>
    </row>
    <row r="775" spans="1:6" s="33" customFormat="1" ht="15">
      <c r="A775" s="158"/>
      <c r="B775" s="148"/>
      <c r="C775" s="111"/>
      <c r="D775" s="111"/>
      <c r="E775" s="32"/>
      <c r="F775"/>
    </row>
    <row r="776" spans="1:6" s="33" customFormat="1" ht="15">
      <c r="A776" s="158"/>
      <c r="B776" s="148"/>
      <c r="C776" s="111"/>
      <c r="D776" s="111"/>
      <c r="E776" s="32"/>
      <c r="F776"/>
    </row>
    <row r="777" spans="1:6" s="33" customFormat="1" ht="15">
      <c r="A777" s="158"/>
      <c r="B777" s="148"/>
      <c r="C777" s="111"/>
      <c r="D777" s="111"/>
      <c r="E777" s="32"/>
      <c r="F777"/>
    </row>
    <row r="778" spans="1:6" s="33" customFormat="1" ht="15">
      <c r="A778" s="158"/>
      <c r="B778" s="148"/>
      <c r="C778" s="111"/>
      <c r="D778" s="111"/>
      <c r="E778" s="32"/>
      <c r="F778"/>
    </row>
    <row r="779" spans="1:6" s="33" customFormat="1" ht="15">
      <c r="A779" s="158"/>
      <c r="B779" s="148"/>
      <c r="C779" s="111"/>
      <c r="D779" s="111"/>
      <c r="E779" s="32"/>
      <c r="F779"/>
    </row>
    <row r="780" spans="1:6" s="33" customFormat="1" ht="15">
      <c r="A780" s="158"/>
      <c r="B780" s="148"/>
      <c r="C780" s="111"/>
      <c r="D780" s="111"/>
      <c r="E780" s="32"/>
      <c r="F780"/>
    </row>
    <row r="781" spans="1:6" s="33" customFormat="1" ht="15">
      <c r="A781" s="158"/>
      <c r="B781" s="148"/>
      <c r="C781" s="111"/>
      <c r="D781" s="111"/>
      <c r="E781" s="32"/>
      <c r="F781"/>
    </row>
    <row r="782" spans="1:6" s="33" customFormat="1" ht="15">
      <c r="A782" s="158"/>
      <c r="B782" s="148"/>
      <c r="C782" s="111"/>
      <c r="D782" s="111"/>
      <c r="E782" s="32"/>
      <c r="F782"/>
    </row>
    <row r="783" spans="1:6" s="33" customFormat="1" ht="15">
      <c r="A783" s="158"/>
      <c r="B783" s="148"/>
      <c r="C783" s="111"/>
      <c r="D783" s="111"/>
      <c r="E783" s="32"/>
      <c r="F783"/>
    </row>
    <row r="784" spans="1:6" s="33" customFormat="1" ht="15">
      <c r="A784" s="158"/>
      <c r="B784" s="148"/>
      <c r="C784" s="111"/>
      <c r="D784" s="111"/>
      <c r="E784" s="32"/>
      <c r="F784"/>
    </row>
    <row r="785" spans="1:6" s="33" customFormat="1" ht="15">
      <c r="A785" s="158"/>
      <c r="B785" s="148"/>
      <c r="C785" s="111"/>
      <c r="D785" s="111"/>
      <c r="E785" s="32"/>
      <c r="F785"/>
    </row>
    <row r="786" spans="1:6" s="33" customFormat="1" ht="15">
      <c r="A786" s="158"/>
      <c r="B786" s="148"/>
      <c r="C786" s="111"/>
      <c r="D786" s="111"/>
      <c r="E786" s="32"/>
      <c r="F786"/>
    </row>
    <row r="787" spans="1:6" s="33" customFormat="1" ht="15">
      <c r="A787" s="158"/>
      <c r="B787" s="148"/>
      <c r="C787" s="111"/>
      <c r="D787" s="111"/>
      <c r="E787" s="32"/>
      <c r="F787"/>
    </row>
    <row r="788" spans="1:6" s="33" customFormat="1" ht="15">
      <c r="A788" s="158"/>
      <c r="B788" s="148"/>
      <c r="C788" s="111"/>
      <c r="D788" s="111"/>
      <c r="E788" s="32"/>
      <c r="F788"/>
    </row>
    <row r="789" spans="1:6" s="33" customFormat="1" ht="15">
      <c r="A789" s="158"/>
      <c r="B789" s="148"/>
      <c r="C789" s="111"/>
      <c r="D789" s="111"/>
      <c r="E789" s="32"/>
      <c r="F789"/>
    </row>
    <row r="790" spans="1:6" s="33" customFormat="1" ht="15">
      <c r="A790" s="158"/>
      <c r="B790" s="148"/>
      <c r="C790" s="111"/>
      <c r="D790" s="111"/>
      <c r="E790" s="32"/>
      <c r="F790"/>
    </row>
    <row r="791" spans="1:6" s="33" customFormat="1" ht="15">
      <c r="A791" s="158"/>
      <c r="B791" s="148"/>
      <c r="C791" s="111"/>
      <c r="D791" s="111"/>
      <c r="E791" s="32"/>
      <c r="F791"/>
    </row>
    <row r="792" spans="1:6" s="33" customFormat="1" ht="15">
      <c r="A792" s="158"/>
      <c r="B792" s="148"/>
      <c r="C792" s="111"/>
      <c r="D792" s="111"/>
      <c r="E792" s="32"/>
      <c r="F792"/>
    </row>
    <row r="793" spans="1:6" s="33" customFormat="1" ht="15">
      <c r="A793" s="158"/>
      <c r="B793" s="148"/>
      <c r="C793" s="111"/>
      <c r="D793" s="111"/>
      <c r="E793" s="32"/>
      <c r="F793"/>
    </row>
    <row r="794" spans="1:6" s="33" customFormat="1" ht="15">
      <c r="A794" s="158"/>
      <c r="B794" s="148"/>
      <c r="C794" s="111"/>
      <c r="D794" s="111"/>
      <c r="E794" s="32"/>
      <c r="F794"/>
    </row>
    <row r="795" spans="1:6" s="33" customFormat="1" ht="15">
      <c r="A795" s="158"/>
      <c r="B795" s="148"/>
      <c r="C795" s="111"/>
      <c r="D795" s="111"/>
      <c r="E795" s="32"/>
      <c r="F795"/>
    </row>
    <row r="796" spans="1:6" s="33" customFormat="1" ht="15">
      <c r="A796" s="158"/>
      <c r="B796" s="148"/>
      <c r="C796" s="111"/>
      <c r="D796" s="111"/>
      <c r="E796" s="32"/>
      <c r="F796"/>
    </row>
    <row r="797" spans="1:6" s="33" customFormat="1" ht="15">
      <c r="A797" s="158"/>
      <c r="B797" s="148"/>
      <c r="C797" s="111"/>
      <c r="D797" s="111"/>
      <c r="E797" s="32"/>
      <c r="F797"/>
    </row>
    <row r="798" spans="1:6" s="33" customFormat="1" ht="15">
      <c r="A798" s="158"/>
      <c r="B798" s="148"/>
      <c r="C798" s="111"/>
      <c r="D798" s="111"/>
      <c r="E798" s="32"/>
      <c r="F798"/>
    </row>
    <row r="799" spans="1:6" s="33" customFormat="1" ht="15">
      <c r="A799" s="158"/>
      <c r="B799" s="148"/>
      <c r="C799" s="111"/>
      <c r="D799" s="111"/>
      <c r="E799" s="32"/>
      <c r="F799"/>
    </row>
    <row r="800" spans="1:6" s="33" customFormat="1" ht="15">
      <c r="A800" s="158"/>
      <c r="B800" s="148"/>
      <c r="C800" s="111"/>
      <c r="D800" s="111"/>
      <c r="E800" s="32"/>
      <c r="F800"/>
    </row>
    <row r="801" spans="1:6" s="33" customFormat="1" ht="15">
      <c r="A801" s="158"/>
      <c r="B801" s="148"/>
      <c r="C801" s="111"/>
      <c r="D801" s="111"/>
      <c r="E801" s="32"/>
      <c r="F801"/>
    </row>
    <row r="802" spans="1:6" s="33" customFormat="1" ht="15">
      <c r="A802" s="158"/>
      <c r="B802" s="148"/>
      <c r="C802" s="111"/>
      <c r="D802" s="111"/>
      <c r="E802" s="32"/>
      <c r="F802"/>
    </row>
    <row r="803" spans="1:6" s="33" customFormat="1" ht="15">
      <c r="A803" s="158"/>
      <c r="B803" s="148"/>
      <c r="C803" s="111"/>
      <c r="D803" s="111"/>
      <c r="E803" s="32"/>
      <c r="F803"/>
    </row>
    <row r="804" spans="1:6" s="33" customFormat="1" ht="15">
      <c r="A804" s="158"/>
      <c r="B804" s="148"/>
      <c r="C804" s="111"/>
      <c r="D804" s="111"/>
      <c r="E804" s="32"/>
      <c r="F804"/>
    </row>
    <row r="805" spans="1:6" s="33" customFormat="1" ht="15">
      <c r="A805" s="158"/>
      <c r="B805" s="148"/>
      <c r="C805" s="111"/>
      <c r="D805" s="111"/>
      <c r="E805" s="32"/>
      <c r="F805"/>
    </row>
    <row r="806" spans="1:6" s="33" customFormat="1" ht="15">
      <c r="A806" s="158"/>
      <c r="B806" s="148"/>
      <c r="C806" s="111"/>
      <c r="D806" s="111"/>
      <c r="E806" s="32"/>
      <c r="F806"/>
    </row>
    <row r="807" spans="1:6" s="33" customFormat="1" ht="15">
      <c r="A807" s="158"/>
      <c r="B807" s="148"/>
      <c r="C807" s="111"/>
      <c r="D807" s="111"/>
      <c r="E807" s="32"/>
      <c r="F807"/>
    </row>
    <row r="808" spans="1:6" s="33" customFormat="1" ht="15">
      <c r="A808" s="158"/>
      <c r="B808" s="148"/>
      <c r="C808" s="111"/>
      <c r="D808" s="111"/>
      <c r="E808" s="32"/>
      <c r="F808"/>
    </row>
    <row r="809" spans="1:6" s="33" customFormat="1" ht="15">
      <c r="A809" s="158"/>
      <c r="B809" s="148"/>
      <c r="C809" s="111"/>
      <c r="D809" s="111"/>
      <c r="E809" s="32"/>
      <c r="F809"/>
    </row>
    <row r="810" spans="1:6" s="33" customFormat="1" ht="15">
      <c r="A810" s="158"/>
      <c r="B810" s="148"/>
      <c r="C810" s="111"/>
      <c r="D810" s="111"/>
      <c r="E810" s="32"/>
      <c r="F810"/>
    </row>
    <row r="811" spans="1:6" s="33" customFormat="1" ht="15">
      <c r="A811" s="158"/>
      <c r="B811" s="148"/>
      <c r="C811" s="111"/>
      <c r="D811" s="111"/>
      <c r="E811" s="32"/>
      <c r="F811"/>
    </row>
    <row r="812" spans="1:6" s="33" customFormat="1" ht="15">
      <c r="A812" s="158"/>
      <c r="B812" s="148"/>
      <c r="C812" s="111"/>
      <c r="D812" s="111"/>
      <c r="E812" s="32"/>
      <c r="F812"/>
    </row>
    <row r="813" spans="1:6" s="33" customFormat="1" ht="15">
      <c r="A813" s="158"/>
      <c r="B813" s="148"/>
      <c r="C813" s="111"/>
      <c r="D813" s="111"/>
      <c r="E813" s="32"/>
      <c r="F813"/>
    </row>
    <row r="814" spans="1:6" s="33" customFormat="1" ht="15">
      <c r="A814" s="158"/>
      <c r="B814" s="148"/>
      <c r="C814" s="111"/>
      <c r="D814" s="111"/>
      <c r="E814" s="32"/>
      <c r="F814"/>
    </row>
    <row r="815" spans="1:6" s="33" customFormat="1" ht="15">
      <c r="A815" s="158"/>
      <c r="B815" s="148"/>
      <c r="C815" s="111"/>
      <c r="D815" s="111"/>
      <c r="E815" s="32"/>
      <c r="F815"/>
    </row>
    <row r="816" spans="1:6" s="33" customFormat="1" ht="15">
      <c r="A816" s="158"/>
      <c r="B816" s="148"/>
      <c r="C816" s="111"/>
      <c r="D816" s="111"/>
      <c r="E816" s="32"/>
      <c r="F816"/>
    </row>
    <row r="817" spans="1:6" s="33" customFormat="1" ht="15">
      <c r="A817" s="158"/>
      <c r="B817" s="148"/>
      <c r="C817" s="111"/>
      <c r="D817" s="111"/>
      <c r="E817" s="32"/>
      <c r="F817"/>
    </row>
    <row r="818" spans="1:6" s="33" customFormat="1" ht="15">
      <c r="A818" s="158"/>
      <c r="B818" s="148"/>
      <c r="C818" s="111"/>
      <c r="D818" s="111"/>
      <c r="E818" s="32"/>
      <c r="F818"/>
    </row>
    <row r="819" spans="1:6" s="33" customFormat="1" ht="15">
      <c r="A819" s="158"/>
      <c r="B819" s="148"/>
      <c r="C819" s="111"/>
      <c r="D819" s="111"/>
      <c r="E819" s="32"/>
      <c r="F819"/>
    </row>
    <row r="820" spans="1:6" s="33" customFormat="1" ht="15">
      <c r="A820" s="158"/>
      <c r="B820" s="148"/>
      <c r="C820" s="111"/>
      <c r="D820" s="111"/>
      <c r="E820" s="32"/>
      <c r="F820"/>
    </row>
    <row r="821" spans="1:6" s="33" customFormat="1" ht="15">
      <c r="A821" s="158"/>
      <c r="B821" s="148"/>
      <c r="C821" s="111"/>
      <c r="D821" s="111"/>
      <c r="E821" s="32"/>
      <c r="F821"/>
    </row>
    <row r="822" spans="1:6" s="33" customFormat="1" ht="15">
      <c r="A822" s="158"/>
      <c r="B822" s="148"/>
      <c r="C822" s="111"/>
      <c r="D822" s="111"/>
      <c r="E822" s="32"/>
      <c r="F822"/>
    </row>
    <row r="823" spans="1:6" s="33" customFormat="1" ht="15">
      <c r="A823" s="158"/>
      <c r="B823" s="148"/>
      <c r="C823" s="111"/>
      <c r="D823" s="111"/>
      <c r="E823" s="32"/>
      <c r="F823"/>
    </row>
    <row r="824" spans="1:6" s="33" customFormat="1" ht="15">
      <c r="A824" s="158"/>
      <c r="B824" s="148"/>
      <c r="C824" s="111"/>
      <c r="D824" s="111"/>
      <c r="E824" s="32"/>
      <c r="F824"/>
    </row>
    <row r="825" spans="1:6" s="33" customFormat="1" ht="15">
      <c r="A825" s="158"/>
      <c r="B825" s="148"/>
      <c r="C825" s="111"/>
      <c r="D825" s="111"/>
      <c r="E825" s="32"/>
      <c r="F825"/>
    </row>
    <row r="826" spans="1:6" s="33" customFormat="1" ht="15">
      <c r="A826" s="158"/>
      <c r="B826" s="148"/>
      <c r="C826" s="111"/>
      <c r="D826" s="111"/>
      <c r="E826" s="32"/>
      <c r="F826"/>
    </row>
    <row r="827" spans="1:6" s="33" customFormat="1" ht="15">
      <c r="A827" s="158"/>
      <c r="B827" s="148"/>
      <c r="C827" s="111"/>
      <c r="D827" s="111"/>
      <c r="E827" s="32"/>
      <c r="F827"/>
    </row>
    <row r="828" spans="1:6" s="33" customFormat="1" ht="15">
      <c r="A828" s="158"/>
      <c r="B828" s="148"/>
      <c r="C828" s="111"/>
      <c r="D828" s="111"/>
      <c r="E828" s="32"/>
      <c r="F828"/>
    </row>
    <row r="829" spans="1:6" s="33" customFormat="1" ht="15">
      <c r="A829" s="158"/>
      <c r="B829" s="148"/>
      <c r="C829" s="111"/>
      <c r="D829" s="111"/>
      <c r="E829" s="32"/>
      <c r="F829"/>
    </row>
    <row r="830" spans="1:6" s="33" customFormat="1" ht="15">
      <c r="A830" s="158"/>
      <c r="B830" s="148"/>
      <c r="C830" s="111"/>
      <c r="D830" s="111"/>
      <c r="E830" s="32"/>
      <c r="F830"/>
    </row>
    <row r="831" spans="1:6" s="33" customFormat="1" ht="15">
      <c r="A831" s="158"/>
      <c r="B831" s="148"/>
      <c r="C831" s="111"/>
      <c r="D831" s="111"/>
      <c r="E831" s="32"/>
      <c r="F831"/>
    </row>
    <row r="832" spans="1:6" s="33" customFormat="1" ht="15">
      <c r="A832" s="158"/>
      <c r="B832" s="148"/>
      <c r="C832" s="111"/>
      <c r="D832" s="111"/>
      <c r="E832" s="32"/>
      <c r="F832"/>
    </row>
    <row r="833" spans="1:6" s="33" customFormat="1" ht="15">
      <c r="A833" s="158"/>
      <c r="B833" s="148"/>
      <c r="C833" s="111"/>
      <c r="D833" s="111"/>
      <c r="E833" s="32"/>
      <c r="F833"/>
    </row>
    <row r="834" spans="1:6" s="33" customFormat="1" ht="15">
      <c r="A834" s="158"/>
      <c r="B834" s="148"/>
      <c r="C834" s="111"/>
      <c r="D834" s="111"/>
      <c r="E834" s="32"/>
      <c r="F834"/>
    </row>
    <row r="835" spans="1:6" s="33" customFormat="1" ht="15">
      <c r="A835" s="158"/>
      <c r="B835" s="148"/>
      <c r="C835" s="111"/>
      <c r="D835" s="111"/>
      <c r="E835" s="32"/>
      <c r="F835"/>
    </row>
    <row r="836" spans="1:6" s="33" customFormat="1" ht="15">
      <c r="A836" s="158"/>
      <c r="B836" s="148"/>
      <c r="C836" s="111"/>
      <c r="D836" s="111"/>
      <c r="E836" s="32"/>
      <c r="F836"/>
    </row>
    <row r="837" spans="1:6" s="33" customFormat="1" ht="15">
      <c r="A837" s="158"/>
      <c r="B837" s="148"/>
      <c r="C837" s="111"/>
      <c r="D837" s="111"/>
      <c r="E837" s="32"/>
      <c r="F837"/>
    </row>
    <row r="838" spans="1:6" s="33" customFormat="1" ht="15">
      <c r="A838" s="158"/>
      <c r="B838" s="148"/>
      <c r="C838" s="111"/>
      <c r="D838" s="111"/>
      <c r="E838" s="32"/>
      <c r="F838"/>
    </row>
    <row r="839" spans="1:6" s="33" customFormat="1" ht="15">
      <c r="A839" s="158"/>
      <c r="B839" s="148"/>
      <c r="C839" s="111"/>
      <c r="D839" s="111"/>
      <c r="E839" s="32"/>
      <c r="F839"/>
    </row>
    <row r="840" spans="1:6" s="33" customFormat="1" ht="15">
      <c r="A840" s="158"/>
      <c r="B840" s="148"/>
      <c r="C840" s="111"/>
      <c r="D840" s="111"/>
      <c r="E840" s="32"/>
      <c r="F840"/>
    </row>
    <row r="841" spans="1:6" s="33" customFormat="1" ht="15">
      <c r="A841" s="158"/>
      <c r="B841" s="148"/>
      <c r="C841" s="111"/>
      <c r="D841" s="111"/>
      <c r="E841" s="32"/>
      <c r="F841"/>
    </row>
    <row r="842" spans="1:6" s="33" customFormat="1" ht="15">
      <c r="A842" s="158"/>
      <c r="B842" s="148"/>
      <c r="C842" s="111"/>
      <c r="D842" s="111"/>
      <c r="E842" s="32"/>
      <c r="F842"/>
    </row>
    <row r="843" spans="1:6" s="33" customFormat="1" ht="15">
      <c r="A843" s="158"/>
      <c r="B843" s="148"/>
      <c r="C843" s="111"/>
      <c r="D843" s="111"/>
      <c r="E843" s="32"/>
      <c r="F843"/>
    </row>
    <row r="844" spans="1:6" s="33" customFormat="1" ht="15">
      <c r="A844" s="158"/>
      <c r="B844" s="148"/>
      <c r="C844" s="111"/>
      <c r="D844" s="111"/>
      <c r="E844" s="32"/>
      <c r="F844"/>
    </row>
    <row r="845" spans="1:6" s="33" customFormat="1" ht="15">
      <c r="A845" s="158"/>
      <c r="B845" s="148"/>
      <c r="C845" s="111"/>
      <c r="D845" s="111"/>
      <c r="E845" s="32"/>
      <c r="F845"/>
    </row>
    <row r="846" spans="1:6" s="33" customFormat="1" ht="15">
      <c r="A846" s="158"/>
      <c r="B846" s="148"/>
      <c r="C846" s="111"/>
      <c r="D846" s="111"/>
      <c r="E846" s="32"/>
      <c r="F846"/>
    </row>
    <row r="847" spans="1:6" s="33" customFormat="1" ht="15">
      <c r="A847" s="158"/>
      <c r="B847" s="148"/>
      <c r="C847" s="111"/>
      <c r="D847" s="111"/>
      <c r="E847" s="32"/>
      <c r="F847"/>
    </row>
    <row r="848" spans="1:6" s="33" customFormat="1" ht="15">
      <c r="A848" s="158"/>
      <c r="B848" s="148"/>
      <c r="C848" s="111"/>
      <c r="D848" s="111"/>
      <c r="E848" s="32"/>
      <c r="F848"/>
    </row>
    <row r="849" spans="1:6" s="33" customFormat="1" ht="15">
      <c r="A849" s="158"/>
      <c r="B849" s="148"/>
      <c r="C849" s="111"/>
      <c r="D849" s="111"/>
      <c r="E849" s="32"/>
      <c r="F849"/>
    </row>
    <row r="850" spans="1:6" s="33" customFormat="1" ht="15">
      <c r="A850" s="158"/>
      <c r="B850" s="148"/>
      <c r="C850" s="111"/>
      <c r="D850" s="111"/>
      <c r="E850" s="32"/>
      <c r="F850"/>
    </row>
    <row r="851" spans="1:6" s="33" customFormat="1" ht="15">
      <c r="A851" s="158"/>
      <c r="B851" s="148"/>
      <c r="C851" s="111"/>
      <c r="D851" s="111"/>
      <c r="E851" s="32"/>
      <c r="F851"/>
    </row>
    <row r="852" spans="1:6" s="33" customFormat="1" ht="15">
      <c r="A852" s="158"/>
      <c r="B852" s="148"/>
      <c r="C852" s="111"/>
      <c r="D852" s="111"/>
      <c r="E852" s="32"/>
      <c r="F852"/>
    </row>
    <row r="853" spans="1:6" s="33" customFormat="1" ht="15">
      <c r="A853" s="158"/>
      <c r="B853" s="148"/>
      <c r="C853" s="111"/>
      <c r="D853" s="111"/>
      <c r="E853" s="32"/>
      <c r="F853"/>
    </row>
    <row r="854" spans="1:6" s="33" customFormat="1" ht="15">
      <c r="A854" s="158"/>
      <c r="B854" s="148"/>
      <c r="C854" s="111"/>
      <c r="D854" s="111"/>
      <c r="E854" s="32"/>
      <c r="F854"/>
    </row>
    <row r="855" spans="1:6" s="33" customFormat="1" ht="15">
      <c r="A855" s="158"/>
      <c r="B855" s="148"/>
      <c r="C855" s="111"/>
      <c r="D855" s="111"/>
      <c r="E855" s="32"/>
      <c r="F855"/>
    </row>
    <row r="856" spans="1:6" s="33" customFormat="1" ht="15">
      <c r="A856" s="158"/>
      <c r="B856" s="148"/>
      <c r="C856" s="111"/>
      <c r="D856" s="111"/>
      <c r="E856" s="32"/>
      <c r="F856"/>
    </row>
    <row r="857" spans="1:6" s="33" customFormat="1" ht="15">
      <c r="A857" s="158"/>
      <c r="B857" s="148"/>
      <c r="C857" s="111"/>
      <c r="D857" s="111"/>
      <c r="E857" s="32"/>
      <c r="F857"/>
    </row>
    <row r="858" spans="1:6" s="33" customFormat="1" ht="15">
      <c r="A858" s="158"/>
      <c r="B858" s="148"/>
      <c r="C858" s="111"/>
      <c r="D858" s="111"/>
      <c r="E858" s="32"/>
      <c r="F858"/>
    </row>
    <row r="859" spans="1:6" s="33" customFormat="1" ht="15">
      <c r="A859" s="158"/>
      <c r="B859" s="148"/>
      <c r="C859" s="111"/>
      <c r="D859" s="111"/>
      <c r="E859" s="32"/>
      <c r="F859"/>
    </row>
    <row r="860" spans="1:6" s="33" customFormat="1" ht="15">
      <c r="A860" s="158"/>
      <c r="B860" s="148"/>
      <c r="C860" s="111"/>
      <c r="D860" s="111"/>
      <c r="E860" s="32"/>
      <c r="F860"/>
    </row>
    <row r="861" spans="1:6" s="33" customFormat="1" ht="15">
      <c r="A861" s="158"/>
      <c r="B861" s="148"/>
      <c r="C861" s="111"/>
      <c r="D861" s="111"/>
      <c r="E861" s="32"/>
      <c r="F861"/>
    </row>
    <row r="862" spans="1:6" s="33" customFormat="1" ht="15">
      <c r="A862" s="158"/>
      <c r="B862" s="148"/>
      <c r="C862" s="111"/>
      <c r="D862" s="111"/>
      <c r="E862" s="32"/>
      <c r="F862"/>
    </row>
    <row r="863" spans="1:6" s="33" customFormat="1" ht="15">
      <c r="A863" s="158"/>
      <c r="B863" s="148"/>
      <c r="C863" s="111"/>
      <c r="D863" s="111"/>
      <c r="E863" s="32"/>
      <c r="F863"/>
    </row>
    <row r="864" spans="1:6" s="33" customFormat="1" ht="15">
      <c r="A864" s="158"/>
      <c r="B864" s="148"/>
      <c r="C864" s="111"/>
      <c r="D864" s="111"/>
      <c r="E864" s="32"/>
      <c r="F864"/>
    </row>
    <row r="865" spans="1:6" s="33" customFormat="1" ht="15">
      <c r="A865" s="158"/>
      <c r="B865" s="148"/>
      <c r="C865" s="111"/>
      <c r="D865" s="111"/>
      <c r="E865" s="32"/>
      <c r="F865"/>
    </row>
    <row r="866" spans="1:6" s="33" customFormat="1" ht="15">
      <c r="A866" s="158"/>
      <c r="B866" s="148"/>
      <c r="C866" s="111"/>
      <c r="D866" s="111"/>
      <c r="E866" s="32"/>
      <c r="F866"/>
    </row>
    <row r="867" spans="1:6" s="33" customFormat="1" ht="15">
      <c r="A867" s="158"/>
      <c r="B867" s="148"/>
      <c r="C867" s="111"/>
      <c r="D867" s="111"/>
      <c r="E867" s="32"/>
      <c r="F867"/>
    </row>
    <row r="868" spans="1:6" s="33" customFormat="1" ht="15">
      <c r="A868" s="158"/>
      <c r="B868" s="148"/>
      <c r="C868" s="111"/>
      <c r="D868" s="111"/>
      <c r="E868" s="32"/>
      <c r="F868"/>
    </row>
    <row r="869" spans="1:6" s="33" customFormat="1" ht="15">
      <c r="A869" s="158"/>
      <c r="B869" s="148"/>
      <c r="C869" s="111"/>
      <c r="D869" s="111"/>
      <c r="E869" s="32"/>
      <c r="F869"/>
    </row>
    <row r="870" spans="1:6" s="33" customFormat="1" ht="15">
      <c r="A870" s="158"/>
      <c r="B870" s="148"/>
      <c r="C870" s="111"/>
      <c r="D870" s="111"/>
      <c r="E870" s="32"/>
      <c r="F870"/>
    </row>
    <row r="871" spans="1:6" s="33" customFormat="1" ht="15">
      <c r="A871" s="158"/>
      <c r="B871" s="148"/>
      <c r="C871" s="111"/>
      <c r="D871" s="111"/>
      <c r="E871" s="32"/>
      <c r="F871"/>
    </row>
    <row r="872" spans="1:6" s="33" customFormat="1" ht="15">
      <c r="A872" s="158"/>
      <c r="B872" s="148"/>
      <c r="C872" s="111"/>
      <c r="D872" s="111"/>
      <c r="E872" s="32"/>
      <c r="F872"/>
    </row>
    <row r="873" spans="1:6" s="33" customFormat="1" ht="15">
      <c r="A873" s="158"/>
      <c r="B873" s="148"/>
      <c r="C873" s="111"/>
      <c r="D873" s="111"/>
      <c r="E873" s="32"/>
      <c r="F873"/>
    </row>
    <row r="874" spans="1:6" s="33" customFormat="1" ht="15">
      <c r="A874" s="158"/>
      <c r="B874" s="148"/>
      <c r="C874" s="111"/>
      <c r="D874" s="111"/>
      <c r="E874" s="32"/>
      <c r="F874"/>
    </row>
    <row r="875" spans="1:6" s="33" customFormat="1" ht="15">
      <c r="A875" s="158"/>
      <c r="B875" s="148"/>
      <c r="C875" s="111"/>
      <c r="D875" s="111"/>
      <c r="E875" s="32"/>
      <c r="F875"/>
    </row>
    <row r="876" spans="1:6" s="33" customFormat="1" ht="15">
      <c r="A876" s="158"/>
      <c r="B876" s="148"/>
      <c r="C876" s="111"/>
      <c r="D876" s="111"/>
      <c r="E876" s="32"/>
      <c r="F876"/>
    </row>
    <row r="877" spans="1:6" s="33" customFormat="1" ht="15">
      <c r="A877" s="158"/>
      <c r="B877" s="148"/>
      <c r="C877" s="111"/>
      <c r="D877" s="111"/>
      <c r="E877" s="32"/>
      <c r="F877"/>
    </row>
    <row r="878" spans="1:6" s="33" customFormat="1" ht="15">
      <c r="A878" s="158"/>
      <c r="B878" s="148"/>
      <c r="C878" s="111"/>
      <c r="D878" s="111"/>
      <c r="E878" s="32"/>
      <c r="F878"/>
    </row>
    <row r="879" spans="1:6" s="33" customFormat="1" ht="15">
      <c r="A879" s="158"/>
      <c r="B879" s="148"/>
      <c r="C879" s="111"/>
      <c r="D879" s="111"/>
      <c r="E879" s="32"/>
      <c r="F879"/>
    </row>
    <row r="880" spans="1:6" s="33" customFormat="1" ht="15">
      <c r="A880" s="158"/>
      <c r="B880" s="148"/>
      <c r="C880" s="111"/>
      <c r="D880" s="111"/>
      <c r="E880" s="32"/>
      <c r="F880"/>
    </row>
    <row r="881" spans="1:6" s="33" customFormat="1" ht="15">
      <c r="A881" s="158"/>
      <c r="B881" s="148"/>
      <c r="C881" s="111"/>
      <c r="D881" s="111"/>
      <c r="E881" s="32"/>
      <c r="F881"/>
    </row>
    <row r="882" spans="1:6" s="33" customFormat="1" ht="15">
      <c r="A882" s="158"/>
      <c r="B882" s="148"/>
      <c r="C882" s="111"/>
      <c r="D882" s="111"/>
      <c r="E882" s="32"/>
      <c r="F882"/>
    </row>
    <row r="883" spans="1:6" s="33" customFormat="1" ht="15">
      <c r="A883" s="158"/>
      <c r="B883" s="148"/>
      <c r="C883" s="111"/>
      <c r="D883" s="111"/>
      <c r="E883" s="32"/>
      <c r="F883"/>
    </row>
    <row r="884" spans="1:6" s="33" customFormat="1" ht="15">
      <c r="A884" s="158"/>
      <c r="B884" s="148"/>
      <c r="C884" s="111"/>
      <c r="D884" s="111"/>
      <c r="E884" s="32"/>
      <c r="F884"/>
    </row>
    <row r="885" spans="1:6" s="33" customFormat="1" ht="15">
      <c r="A885" s="158"/>
      <c r="B885" s="148"/>
      <c r="C885" s="111"/>
      <c r="D885" s="111"/>
      <c r="E885" s="32"/>
      <c r="F885"/>
    </row>
    <row r="886" spans="1:6" s="33" customFormat="1" ht="15">
      <c r="A886" s="158"/>
      <c r="B886" s="148"/>
      <c r="C886" s="111"/>
      <c r="D886" s="111"/>
      <c r="E886" s="32"/>
      <c r="F886"/>
    </row>
    <row r="887" spans="1:6" s="33" customFormat="1" ht="15">
      <c r="A887" s="158"/>
      <c r="B887" s="148"/>
      <c r="C887" s="111"/>
      <c r="D887" s="111"/>
      <c r="E887" s="32"/>
      <c r="F887"/>
    </row>
    <row r="888" spans="1:6" s="33" customFormat="1" ht="15">
      <c r="A888" s="158"/>
      <c r="B888" s="148"/>
      <c r="C888" s="111"/>
      <c r="D888" s="111"/>
      <c r="E888" s="32"/>
      <c r="F888"/>
    </row>
    <row r="889" spans="1:6" s="33" customFormat="1" ht="15">
      <c r="A889" s="158"/>
      <c r="B889" s="148"/>
      <c r="C889" s="111"/>
      <c r="D889" s="111"/>
      <c r="E889" s="32"/>
      <c r="F889"/>
    </row>
    <row r="890" spans="1:6" s="33" customFormat="1" ht="15">
      <c r="A890" s="158"/>
      <c r="B890" s="148"/>
      <c r="C890" s="111"/>
      <c r="D890" s="111"/>
      <c r="E890" s="32"/>
      <c r="F890"/>
    </row>
    <row r="891" spans="1:6" s="33" customFormat="1" ht="15">
      <c r="A891" s="158"/>
      <c r="B891" s="148"/>
      <c r="C891" s="111"/>
      <c r="D891" s="111"/>
      <c r="E891" s="32"/>
      <c r="F891"/>
    </row>
    <row r="892" spans="1:6" s="33" customFormat="1" ht="15">
      <c r="A892" s="158"/>
      <c r="B892" s="148"/>
      <c r="C892" s="111"/>
      <c r="D892" s="111"/>
      <c r="E892" s="32"/>
      <c r="F892"/>
    </row>
    <row r="893" spans="1:6" s="33" customFormat="1" ht="15">
      <c r="A893" s="158"/>
      <c r="B893" s="148"/>
      <c r="C893" s="111"/>
      <c r="D893" s="111"/>
      <c r="E893" s="32"/>
      <c r="F893"/>
    </row>
    <row r="894" spans="1:6" s="33" customFormat="1" ht="15">
      <c r="A894" s="158"/>
      <c r="B894" s="148"/>
      <c r="C894" s="111"/>
      <c r="D894" s="111"/>
      <c r="E894" s="32"/>
      <c r="F894"/>
    </row>
    <row r="895" spans="1:6" s="33" customFormat="1" ht="15">
      <c r="A895" s="158"/>
      <c r="B895" s="148"/>
      <c r="C895" s="111"/>
      <c r="D895" s="111"/>
      <c r="E895" s="32"/>
      <c r="F895"/>
    </row>
    <row r="896" spans="1:6" s="33" customFormat="1" ht="15">
      <c r="A896" s="158"/>
      <c r="B896" s="148"/>
      <c r="C896" s="111"/>
      <c r="D896" s="111"/>
      <c r="E896" s="32"/>
      <c r="F896"/>
    </row>
    <row r="897" spans="1:6" s="33" customFormat="1" ht="15">
      <c r="A897" s="158"/>
      <c r="B897" s="148"/>
      <c r="C897" s="111"/>
      <c r="D897" s="111"/>
      <c r="E897" s="32"/>
      <c r="F897"/>
    </row>
    <row r="898" spans="1:6" s="33" customFormat="1" ht="15">
      <c r="A898" s="158"/>
      <c r="B898" s="148"/>
      <c r="C898" s="111"/>
      <c r="D898" s="111"/>
      <c r="E898" s="32"/>
      <c r="F898"/>
    </row>
    <row r="899" spans="1:6" s="33" customFormat="1" ht="15">
      <c r="A899" s="158"/>
      <c r="B899" s="148"/>
      <c r="C899" s="111"/>
      <c r="D899" s="111"/>
      <c r="E899" s="32"/>
      <c r="F899"/>
    </row>
    <row r="900" spans="1:6" s="33" customFormat="1" ht="15">
      <c r="A900" s="158"/>
      <c r="B900" s="148"/>
      <c r="C900" s="111"/>
      <c r="D900" s="111"/>
      <c r="E900" s="32"/>
      <c r="F900"/>
    </row>
    <row r="901" spans="1:6" s="33" customFormat="1" ht="15">
      <c r="A901" s="158"/>
      <c r="B901" s="148"/>
      <c r="C901" s="111"/>
      <c r="D901" s="111"/>
      <c r="E901" s="32"/>
      <c r="F901"/>
    </row>
    <row r="902" spans="1:6" s="33" customFormat="1" ht="15">
      <c r="A902" s="158"/>
      <c r="B902" s="148"/>
      <c r="C902" s="111"/>
      <c r="D902" s="111"/>
      <c r="E902" s="32"/>
      <c r="F902"/>
    </row>
    <row r="903" spans="1:6" s="33" customFormat="1" ht="15">
      <c r="A903" s="158"/>
      <c r="B903" s="148"/>
      <c r="C903" s="111"/>
      <c r="D903" s="111"/>
      <c r="E903" s="32"/>
      <c r="F903"/>
    </row>
    <row r="904" spans="1:6" s="33" customFormat="1" ht="15">
      <c r="A904" s="158"/>
      <c r="B904" s="148"/>
      <c r="C904" s="111"/>
      <c r="D904" s="111"/>
      <c r="E904" s="32"/>
      <c r="F904"/>
    </row>
    <row r="905" spans="1:6" s="33" customFormat="1" ht="15">
      <c r="A905" s="158"/>
      <c r="B905" s="148"/>
      <c r="C905" s="111"/>
      <c r="D905" s="111"/>
      <c r="E905" s="32"/>
      <c r="F905"/>
    </row>
    <row r="906" spans="1:6" s="33" customFormat="1" ht="15">
      <c r="A906" s="158"/>
      <c r="B906" s="148"/>
      <c r="C906" s="111"/>
      <c r="D906" s="111"/>
      <c r="E906" s="32"/>
      <c r="F906"/>
    </row>
    <row r="907" spans="1:6" s="33" customFormat="1" ht="15">
      <c r="A907" s="158"/>
      <c r="B907" s="148"/>
      <c r="C907" s="111"/>
      <c r="D907" s="111"/>
      <c r="E907" s="32"/>
      <c r="F907"/>
    </row>
    <row r="908" spans="1:6" s="33" customFormat="1" ht="15">
      <c r="A908" s="158"/>
      <c r="B908" s="148"/>
      <c r="C908" s="111"/>
      <c r="D908" s="111"/>
      <c r="E908" s="32"/>
      <c r="F908"/>
    </row>
    <row r="909" spans="1:6" s="33" customFormat="1" ht="15">
      <c r="A909" s="158"/>
      <c r="B909" s="148"/>
      <c r="C909" s="111"/>
      <c r="D909" s="111"/>
      <c r="E909" s="32"/>
      <c r="F909"/>
    </row>
    <row r="910" spans="1:6" s="33" customFormat="1" ht="15">
      <c r="A910" s="158"/>
      <c r="B910" s="148"/>
      <c r="C910" s="111"/>
      <c r="D910" s="111"/>
      <c r="E910" s="32"/>
      <c r="F910"/>
    </row>
    <row r="911" spans="1:6" s="33" customFormat="1" ht="15">
      <c r="A911" s="158"/>
      <c r="B911" s="148"/>
      <c r="C911" s="111"/>
      <c r="D911" s="111"/>
      <c r="E911" s="32"/>
      <c r="F911"/>
    </row>
    <row r="912" spans="1:6" s="33" customFormat="1" ht="15">
      <c r="A912" s="158"/>
      <c r="B912" s="148"/>
      <c r="C912" s="111"/>
      <c r="D912" s="111"/>
      <c r="E912" s="32"/>
      <c r="F912"/>
    </row>
    <row r="913" spans="1:6" s="33" customFormat="1" ht="15">
      <c r="A913" s="158"/>
      <c r="B913" s="148"/>
      <c r="C913" s="111"/>
      <c r="D913" s="111"/>
      <c r="E913" s="32"/>
      <c r="F913"/>
    </row>
    <row r="914" spans="1:6" s="33" customFormat="1" ht="15">
      <c r="A914" s="158"/>
      <c r="B914" s="148"/>
      <c r="C914" s="111"/>
      <c r="D914" s="111"/>
      <c r="E914" s="32"/>
      <c r="F914"/>
    </row>
    <row r="915" spans="1:6" s="33" customFormat="1" ht="15">
      <c r="A915" s="158"/>
      <c r="B915" s="148"/>
      <c r="C915" s="111"/>
      <c r="D915" s="111"/>
      <c r="E915" s="32"/>
      <c r="F915"/>
    </row>
    <row r="916" spans="1:6" s="33" customFormat="1" ht="15">
      <c r="A916" s="158"/>
      <c r="B916" s="148"/>
      <c r="C916" s="111"/>
      <c r="D916" s="111"/>
      <c r="E916" s="32"/>
      <c r="F916"/>
    </row>
    <row r="917" spans="1:6" s="33" customFormat="1" ht="15">
      <c r="A917" s="158"/>
      <c r="B917" s="148"/>
      <c r="C917" s="111"/>
      <c r="D917" s="111"/>
      <c r="E917" s="32"/>
      <c r="F917"/>
    </row>
    <row r="918" spans="1:6" s="33" customFormat="1" ht="15">
      <c r="A918" s="158"/>
      <c r="B918" s="148"/>
      <c r="C918" s="111"/>
      <c r="D918" s="111"/>
      <c r="E918" s="32"/>
      <c r="F918"/>
    </row>
    <row r="919" spans="1:6" s="33" customFormat="1" ht="15">
      <c r="A919" s="158"/>
      <c r="B919" s="148"/>
      <c r="C919" s="111"/>
      <c r="D919" s="111"/>
      <c r="E919" s="32"/>
      <c r="F919"/>
    </row>
    <row r="920" spans="1:6" s="33" customFormat="1" ht="15">
      <c r="A920" s="158"/>
      <c r="B920" s="148"/>
      <c r="C920" s="111"/>
      <c r="D920" s="111"/>
      <c r="E920" s="32"/>
      <c r="F920"/>
    </row>
    <row r="921" spans="1:6" s="33" customFormat="1" ht="15">
      <c r="A921" s="158"/>
      <c r="B921" s="148"/>
      <c r="C921" s="111"/>
      <c r="D921" s="111"/>
      <c r="E921" s="32"/>
      <c r="F921"/>
    </row>
    <row r="922" spans="1:6" s="33" customFormat="1" ht="15">
      <c r="A922" s="158"/>
      <c r="B922" s="148"/>
      <c r="C922" s="111"/>
      <c r="D922" s="111"/>
      <c r="E922" s="32"/>
      <c r="F922"/>
    </row>
    <row r="923" spans="1:6" s="33" customFormat="1" ht="15">
      <c r="A923" s="158"/>
      <c r="B923" s="148"/>
      <c r="C923" s="111"/>
      <c r="D923" s="111"/>
      <c r="E923" s="32"/>
      <c r="F923"/>
    </row>
    <row r="924" spans="1:6" s="33" customFormat="1" ht="15">
      <c r="A924" s="158"/>
      <c r="B924" s="148"/>
      <c r="C924" s="111"/>
      <c r="D924" s="111"/>
      <c r="E924" s="32"/>
      <c r="F924"/>
    </row>
    <row r="925" spans="1:6" s="33" customFormat="1" ht="15">
      <c r="A925" s="158"/>
      <c r="B925" s="148"/>
      <c r="C925" s="111"/>
      <c r="D925" s="111"/>
      <c r="E925" s="32"/>
      <c r="F925"/>
    </row>
    <row r="926" spans="1:6" s="33" customFormat="1" ht="15">
      <c r="A926" s="158"/>
      <c r="B926" s="148"/>
      <c r="C926" s="111"/>
      <c r="D926" s="111"/>
      <c r="E926" s="32"/>
      <c r="F926"/>
    </row>
    <row r="927" spans="1:6" s="33" customFormat="1" ht="15">
      <c r="A927" s="158"/>
      <c r="B927" s="148"/>
      <c r="C927" s="111"/>
      <c r="D927" s="111"/>
      <c r="E927" s="32"/>
      <c r="F927"/>
    </row>
    <row r="928" spans="1:6" s="33" customFormat="1" ht="15">
      <c r="A928" s="158"/>
      <c r="B928" s="148"/>
      <c r="C928" s="111"/>
      <c r="D928" s="111"/>
      <c r="E928" s="32"/>
      <c r="F928"/>
    </row>
    <row r="929" spans="1:6" s="33" customFormat="1" ht="15">
      <c r="A929" s="158"/>
      <c r="B929" s="148"/>
      <c r="C929" s="111"/>
      <c r="D929" s="111"/>
      <c r="E929" s="32"/>
      <c r="F929"/>
    </row>
    <row r="930" spans="1:6" s="33" customFormat="1" ht="15">
      <c r="A930" s="158"/>
      <c r="B930" s="148"/>
      <c r="C930" s="111"/>
      <c r="D930" s="111"/>
      <c r="E930" s="32"/>
      <c r="F930"/>
    </row>
    <row r="931" spans="1:6" s="33" customFormat="1" ht="15">
      <c r="A931" s="158"/>
      <c r="B931" s="148"/>
      <c r="C931" s="111"/>
      <c r="D931" s="111"/>
      <c r="E931" s="32"/>
      <c r="F931"/>
    </row>
    <row r="932" spans="1:6" s="33" customFormat="1" ht="15">
      <c r="A932" s="158"/>
      <c r="B932" s="148"/>
      <c r="C932" s="111"/>
      <c r="D932" s="111"/>
      <c r="E932" s="32"/>
      <c r="F932"/>
    </row>
    <row r="933" spans="1:6" s="33" customFormat="1" ht="15">
      <c r="A933" s="158"/>
      <c r="B933" s="148"/>
      <c r="C933" s="111"/>
      <c r="D933" s="111"/>
      <c r="E933" s="32"/>
      <c r="F933"/>
    </row>
    <row r="934" spans="1:6" s="33" customFormat="1" ht="15">
      <c r="A934" s="158"/>
      <c r="B934" s="148"/>
      <c r="C934" s="111"/>
      <c r="D934" s="111"/>
      <c r="E934" s="32"/>
      <c r="F934"/>
    </row>
    <row r="935" spans="1:6" s="33" customFormat="1" ht="15">
      <c r="A935" s="158"/>
      <c r="B935" s="148"/>
      <c r="C935" s="111"/>
      <c r="D935" s="111"/>
      <c r="E935" s="32"/>
      <c r="F935"/>
    </row>
    <row r="936" spans="1:6" s="33" customFormat="1" ht="15">
      <c r="A936" s="158"/>
      <c r="B936" s="148"/>
      <c r="C936" s="111"/>
      <c r="D936" s="111"/>
      <c r="E936" s="32"/>
      <c r="F936"/>
    </row>
    <row r="937" spans="1:6" s="33" customFormat="1" ht="15">
      <c r="A937" s="158"/>
      <c r="B937" s="148"/>
      <c r="C937" s="111"/>
      <c r="D937" s="111"/>
      <c r="E937" s="32"/>
      <c r="F937"/>
    </row>
    <row r="938" spans="1:6" s="33" customFormat="1" ht="15">
      <c r="A938" s="158"/>
      <c r="B938" s="148"/>
      <c r="C938" s="111"/>
      <c r="D938" s="111"/>
      <c r="E938" s="32"/>
      <c r="F938"/>
    </row>
    <row r="939" spans="1:6" s="33" customFormat="1" ht="15">
      <c r="A939" s="158"/>
      <c r="B939" s="148"/>
      <c r="C939" s="111"/>
      <c r="D939" s="111"/>
      <c r="E939" s="32"/>
      <c r="F939"/>
    </row>
    <row r="940" spans="1:6" s="33" customFormat="1" ht="15">
      <c r="A940" s="158"/>
      <c r="B940" s="148"/>
      <c r="C940" s="111"/>
      <c r="D940" s="111"/>
      <c r="E940" s="32"/>
      <c r="F940"/>
    </row>
    <row r="941" spans="1:6" s="33" customFormat="1" ht="15">
      <c r="A941" s="158"/>
      <c r="B941" s="148"/>
      <c r="C941" s="111"/>
      <c r="D941" s="111"/>
      <c r="E941" s="32"/>
      <c r="F941"/>
    </row>
    <row r="942" spans="1:6" s="33" customFormat="1" ht="15">
      <c r="A942" s="158"/>
      <c r="B942" s="148"/>
      <c r="C942" s="111"/>
      <c r="D942" s="111"/>
      <c r="E942" s="32"/>
      <c r="F942"/>
    </row>
    <row r="943" spans="1:6" s="33" customFormat="1" ht="15">
      <c r="A943" s="158"/>
      <c r="B943" s="148"/>
      <c r="C943" s="111"/>
      <c r="D943" s="111"/>
      <c r="E943" s="32"/>
      <c r="F943"/>
    </row>
    <row r="944" spans="1:6" s="33" customFormat="1" ht="15">
      <c r="A944" s="158"/>
      <c r="B944" s="148"/>
      <c r="C944" s="111"/>
      <c r="D944" s="111"/>
      <c r="E944" s="32"/>
      <c r="F944"/>
    </row>
    <row r="945" spans="1:6" s="33" customFormat="1" ht="15">
      <c r="A945" s="158"/>
      <c r="B945" s="148"/>
      <c r="C945" s="111"/>
      <c r="D945" s="111"/>
      <c r="E945" s="32"/>
      <c r="F945"/>
    </row>
    <row r="946" spans="1:6" s="33" customFormat="1" ht="15">
      <c r="A946" s="158"/>
      <c r="B946" s="148"/>
      <c r="C946" s="111"/>
      <c r="D946" s="111"/>
      <c r="E946" s="32"/>
      <c r="F946"/>
    </row>
    <row r="947" spans="1:6" s="33" customFormat="1" ht="15">
      <c r="A947" s="158"/>
      <c r="B947" s="148"/>
      <c r="C947" s="111"/>
      <c r="D947" s="111"/>
      <c r="E947" s="32"/>
      <c r="F947"/>
    </row>
    <row r="948" spans="1:6" s="33" customFormat="1" ht="15">
      <c r="A948" s="158"/>
      <c r="B948" s="148"/>
      <c r="C948" s="111"/>
      <c r="D948" s="111"/>
      <c r="E948" s="32"/>
      <c r="F948"/>
    </row>
    <row r="949" spans="1:6" s="33" customFormat="1" ht="15">
      <c r="A949" s="158"/>
      <c r="B949" s="148"/>
      <c r="C949" s="111"/>
      <c r="D949" s="111"/>
      <c r="E949" s="32"/>
      <c r="F949"/>
    </row>
    <row r="950" spans="1:6" s="33" customFormat="1" ht="15">
      <c r="A950" s="158"/>
      <c r="B950" s="148"/>
      <c r="C950" s="111"/>
      <c r="D950" s="111"/>
      <c r="E950" s="32"/>
      <c r="F950"/>
    </row>
    <row r="951" spans="1:6" s="33" customFormat="1" ht="15">
      <c r="A951" s="158"/>
      <c r="B951" s="148"/>
      <c r="C951" s="111"/>
      <c r="D951" s="111"/>
      <c r="E951" s="32"/>
      <c r="F951"/>
    </row>
    <row r="952" spans="1:6" s="33" customFormat="1" ht="15">
      <c r="A952" s="158"/>
      <c r="B952" s="148"/>
      <c r="C952" s="111"/>
      <c r="D952" s="111"/>
      <c r="E952" s="32"/>
      <c r="F952"/>
    </row>
    <row r="953" spans="1:6" s="33" customFormat="1" ht="15">
      <c r="A953" s="158"/>
      <c r="B953" s="148"/>
      <c r="C953" s="111"/>
      <c r="D953" s="111"/>
      <c r="E953" s="32"/>
      <c r="F953"/>
    </row>
    <row r="954" spans="1:6" s="33" customFormat="1" ht="15">
      <c r="A954" s="158"/>
      <c r="B954" s="148"/>
      <c r="C954" s="111"/>
      <c r="D954" s="111"/>
      <c r="E954" s="32"/>
      <c r="F954"/>
    </row>
    <row r="955" spans="1:6" s="33" customFormat="1" ht="15">
      <c r="A955" s="158"/>
      <c r="B955" s="148"/>
      <c r="C955" s="111"/>
      <c r="D955" s="111"/>
      <c r="E955" s="32"/>
      <c r="F955"/>
    </row>
    <row r="956" spans="1:6" s="33" customFormat="1" ht="15">
      <c r="A956" s="158"/>
      <c r="B956" s="148"/>
      <c r="C956" s="111"/>
      <c r="D956" s="111"/>
      <c r="E956" s="32"/>
      <c r="F956"/>
    </row>
    <row r="957" spans="1:6" s="33" customFormat="1" ht="15">
      <c r="A957" s="158"/>
      <c r="B957" s="148"/>
      <c r="C957" s="111"/>
      <c r="D957" s="111"/>
      <c r="E957" s="32"/>
      <c r="F957"/>
    </row>
    <row r="958" spans="1:6" s="33" customFormat="1" ht="15">
      <c r="A958" s="158"/>
      <c r="B958" s="148"/>
      <c r="C958" s="111"/>
      <c r="D958" s="111"/>
      <c r="E958" s="32"/>
      <c r="F958"/>
    </row>
    <row r="959" spans="1:6" s="33" customFormat="1" ht="15">
      <c r="A959" s="158"/>
      <c r="B959" s="148"/>
      <c r="C959" s="111"/>
      <c r="D959" s="111"/>
      <c r="E959" s="32"/>
      <c r="F959"/>
    </row>
    <row r="960" spans="1:6" s="33" customFormat="1" ht="15">
      <c r="A960" s="158"/>
      <c r="B960" s="148"/>
      <c r="C960" s="111"/>
      <c r="D960" s="111"/>
      <c r="E960" s="32"/>
      <c r="F960"/>
    </row>
    <row r="961" spans="1:6" s="33" customFormat="1" ht="15">
      <c r="A961" s="158"/>
      <c r="B961" s="148"/>
      <c r="C961" s="111"/>
      <c r="D961" s="111"/>
      <c r="E961" s="32"/>
      <c r="F961"/>
    </row>
    <row r="962" spans="1:6" s="33" customFormat="1" ht="15">
      <c r="A962" s="158"/>
      <c r="B962" s="148"/>
      <c r="C962" s="111"/>
      <c r="D962" s="111"/>
      <c r="E962" s="32"/>
      <c r="F962"/>
    </row>
    <row r="963" spans="1:6" s="33" customFormat="1" ht="15">
      <c r="A963" s="158"/>
      <c r="B963" s="148"/>
      <c r="C963" s="111"/>
      <c r="D963" s="111"/>
      <c r="E963" s="32"/>
      <c r="F963"/>
    </row>
    <row r="964" spans="1:6" s="33" customFormat="1" ht="15">
      <c r="A964" s="158"/>
      <c r="B964" s="148"/>
      <c r="C964" s="111"/>
      <c r="D964" s="111"/>
      <c r="E964" s="32"/>
      <c r="F964"/>
    </row>
    <row r="965" spans="1:6" s="33" customFormat="1" ht="15">
      <c r="A965" s="158"/>
      <c r="B965" s="148"/>
      <c r="C965" s="111"/>
      <c r="D965" s="111"/>
      <c r="E965" s="32"/>
      <c r="F965"/>
    </row>
    <row r="966" spans="1:6" s="33" customFormat="1" ht="15">
      <c r="A966" s="158"/>
      <c r="B966" s="148"/>
      <c r="C966" s="111"/>
      <c r="D966" s="111"/>
      <c r="E966" s="32"/>
      <c r="F966"/>
    </row>
    <row r="967" spans="1:6" s="33" customFormat="1" ht="15">
      <c r="A967" s="158"/>
      <c r="B967" s="148"/>
      <c r="C967" s="111"/>
      <c r="D967" s="111"/>
      <c r="E967" s="32"/>
      <c r="F967"/>
    </row>
    <row r="968" spans="1:6" s="33" customFormat="1" ht="15">
      <c r="A968" s="158"/>
      <c r="B968" s="148"/>
      <c r="C968" s="111"/>
      <c r="D968" s="111"/>
      <c r="E968" s="32"/>
      <c r="F968"/>
    </row>
    <row r="969" spans="1:6" s="33" customFormat="1" ht="15">
      <c r="A969" s="158"/>
      <c r="B969" s="148"/>
      <c r="C969" s="111"/>
      <c r="D969" s="111"/>
      <c r="E969" s="32"/>
      <c r="F969"/>
    </row>
    <row r="970" spans="1:6" s="33" customFormat="1" ht="15">
      <c r="A970" s="158"/>
      <c r="B970" s="148"/>
      <c r="C970" s="111"/>
      <c r="D970" s="111"/>
      <c r="E970" s="32"/>
      <c r="F970"/>
    </row>
    <row r="971" spans="1:6" s="33" customFormat="1" ht="15">
      <c r="A971" s="158"/>
      <c r="B971" s="148"/>
      <c r="C971" s="111"/>
      <c r="D971" s="111"/>
      <c r="E971" s="32"/>
      <c r="F971"/>
    </row>
    <row r="972" spans="1:6" s="33" customFormat="1" ht="15">
      <c r="A972" s="158"/>
      <c r="B972" s="148"/>
      <c r="C972" s="111"/>
      <c r="D972" s="111"/>
      <c r="E972" s="32"/>
      <c r="F972"/>
    </row>
    <row r="973" spans="1:6" s="33" customFormat="1" ht="15">
      <c r="A973" s="158"/>
      <c r="B973" s="148"/>
      <c r="C973" s="111"/>
      <c r="D973" s="111"/>
      <c r="E973" s="32"/>
      <c r="F973"/>
    </row>
    <row r="974" spans="1:6" s="33" customFormat="1" ht="15">
      <c r="A974" s="158"/>
      <c r="B974" s="148"/>
      <c r="C974" s="111"/>
      <c r="D974" s="111"/>
      <c r="E974" s="32"/>
      <c r="F974"/>
    </row>
    <row r="975" spans="1:6" s="33" customFormat="1" ht="15">
      <c r="A975" s="158"/>
      <c r="B975" s="148"/>
      <c r="C975" s="111"/>
      <c r="D975" s="111"/>
      <c r="E975" s="32"/>
      <c r="F975"/>
    </row>
    <row r="976" spans="1:6" s="33" customFormat="1" ht="15">
      <c r="A976" s="158"/>
      <c r="B976" s="148"/>
      <c r="C976" s="111"/>
      <c r="D976" s="111"/>
      <c r="E976" s="32"/>
      <c r="F976"/>
    </row>
    <row r="977" spans="1:6" s="33" customFormat="1" ht="15">
      <c r="A977" s="158"/>
      <c r="B977" s="148"/>
      <c r="C977" s="111"/>
      <c r="D977" s="111"/>
      <c r="E977" s="32"/>
      <c r="F977"/>
    </row>
    <row r="978" spans="1:6" s="33" customFormat="1" ht="15">
      <c r="A978" s="158"/>
      <c r="B978" s="148"/>
      <c r="C978" s="111"/>
      <c r="D978" s="111"/>
      <c r="E978" s="32"/>
      <c r="F978"/>
    </row>
    <row r="979" spans="1:6" s="33" customFormat="1" ht="15">
      <c r="A979" s="158"/>
      <c r="B979" s="148"/>
      <c r="C979" s="111"/>
      <c r="D979" s="111"/>
      <c r="E979" s="32"/>
      <c r="F979"/>
    </row>
    <row r="980" spans="1:6" s="33" customFormat="1" ht="15">
      <c r="A980" s="158"/>
      <c r="B980" s="148"/>
      <c r="C980" s="111"/>
      <c r="D980" s="111"/>
      <c r="E980" s="32"/>
      <c r="F980"/>
    </row>
    <row r="981" spans="1:6" s="33" customFormat="1" ht="15">
      <c r="A981" s="158"/>
      <c r="B981" s="148"/>
      <c r="C981" s="111"/>
      <c r="D981" s="111"/>
      <c r="E981" s="32"/>
      <c r="F981"/>
    </row>
    <row r="982" spans="1:6" s="33" customFormat="1" ht="15">
      <c r="A982" s="158"/>
      <c r="B982" s="148"/>
      <c r="C982" s="111"/>
      <c r="D982" s="111"/>
      <c r="E982" s="32"/>
      <c r="F982"/>
    </row>
    <row r="983" spans="1:6" s="33" customFormat="1" ht="15">
      <c r="A983" s="158"/>
      <c r="B983" s="148"/>
      <c r="C983" s="111"/>
      <c r="D983" s="111"/>
      <c r="E983" s="32"/>
      <c r="F983"/>
    </row>
    <row r="984" spans="1:6" s="33" customFormat="1" ht="15">
      <c r="A984" s="158"/>
      <c r="B984" s="148"/>
      <c r="C984" s="111"/>
      <c r="D984" s="111"/>
      <c r="E984" s="32"/>
      <c r="F984"/>
    </row>
    <row r="985" spans="1:6" s="33" customFormat="1" ht="15">
      <c r="A985" s="158"/>
      <c r="B985" s="148"/>
      <c r="C985" s="111"/>
      <c r="D985" s="111"/>
      <c r="E985" s="32"/>
      <c r="F985"/>
    </row>
    <row r="986" spans="1:6" s="33" customFormat="1" ht="15">
      <c r="A986" s="158"/>
      <c r="B986" s="148"/>
      <c r="C986" s="111"/>
      <c r="D986" s="111"/>
      <c r="E986" s="32"/>
      <c r="F986"/>
    </row>
    <row r="987" spans="1:6" s="33" customFormat="1" ht="15">
      <c r="A987" s="158"/>
      <c r="B987" s="148"/>
      <c r="C987" s="111"/>
      <c r="D987" s="111"/>
      <c r="E987" s="32"/>
      <c r="F987"/>
    </row>
    <row r="988" spans="1:6" s="33" customFormat="1" ht="15">
      <c r="A988" s="158"/>
      <c r="B988" s="148"/>
      <c r="C988" s="111"/>
      <c r="D988" s="111"/>
      <c r="E988" s="32"/>
      <c r="F988"/>
    </row>
    <row r="989" spans="1:6" s="33" customFormat="1" ht="15">
      <c r="A989" s="158"/>
      <c r="B989" s="148"/>
      <c r="C989" s="111"/>
      <c r="D989" s="111"/>
      <c r="E989" s="32"/>
      <c r="F989"/>
    </row>
    <row r="990" spans="1:6" s="33" customFormat="1" ht="15">
      <c r="A990" s="158"/>
      <c r="B990" s="148"/>
      <c r="C990" s="111"/>
      <c r="D990" s="111"/>
      <c r="E990" s="32"/>
      <c r="F990"/>
    </row>
    <row r="991" spans="1:6" s="33" customFormat="1" ht="15">
      <c r="A991" s="158"/>
      <c r="B991" s="148"/>
      <c r="C991" s="111"/>
      <c r="D991" s="111"/>
      <c r="E991" s="32"/>
      <c r="F991"/>
    </row>
    <row r="992" spans="1:6" s="33" customFormat="1" ht="15">
      <c r="A992" s="158"/>
      <c r="B992" s="148"/>
      <c r="C992" s="111"/>
      <c r="D992" s="111"/>
      <c r="E992" s="32"/>
      <c r="F992"/>
    </row>
    <row r="993" spans="1:6" s="33" customFormat="1" ht="15">
      <c r="A993" s="158"/>
      <c r="B993" s="148"/>
      <c r="C993" s="111"/>
      <c r="D993" s="111"/>
      <c r="E993" s="32"/>
      <c r="F993"/>
    </row>
    <row r="994" spans="1:6" s="33" customFormat="1" ht="15">
      <c r="A994" s="158"/>
      <c r="B994" s="148"/>
      <c r="C994" s="111"/>
      <c r="D994" s="111"/>
      <c r="E994" s="32"/>
      <c r="F994"/>
    </row>
    <row r="995" spans="1:6" s="33" customFormat="1" ht="15">
      <c r="A995" s="158"/>
      <c r="B995" s="148"/>
      <c r="C995" s="111"/>
      <c r="D995" s="111"/>
      <c r="E995" s="32"/>
      <c r="F995"/>
    </row>
    <row r="996" spans="1:6" s="33" customFormat="1" ht="15">
      <c r="A996" s="158"/>
      <c r="B996" s="148"/>
      <c r="C996" s="111"/>
      <c r="D996" s="111"/>
      <c r="E996" s="32"/>
      <c r="F996"/>
    </row>
    <row r="997" spans="1:6" s="33" customFormat="1" ht="15">
      <c r="A997" s="158"/>
      <c r="B997" s="148"/>
      <c r="C997" s="111"/>
      <c r="D997" s="111"/>
      <c r="E997" s="32"/>
      <c r="F997"/>
    </row>
    <row r="998" spans="1:6" s="33" customFormat="1" ht="15">
      <c r="A998" s="158"/>
      <c r="B998" s="148"/>
      <c r="C998" s="111"/>
      <c r="D998" s="111"/>
      <c r="E998" s="32"/>
      <c r="F998"/>
    </row>
    <row r="999" spans="1:6" s="33" customFormat="1" ht="15">
      <c r="A999" s="158"/>
      <c r="B999" s="148"/>
      <c r="C999" s="111"/>
      <c r="D999" s="111"/>
      <c r="E999" s="32"/>
      <c r="F999"/>
    </row>
    <row r="1000" spans="1:6" s="33" customFormat="1" ht="15">
      <c r="A1000" s="158"/>
      <c r="B1000" s="148"/>
      <c r="C1000" s="111"/>
      <c r="D1000" s="111"/>
      <c r="E1000" s="32"/>
      <c r="F1000"/>
    </row>
    <row r="1001" spans="1:6" ht="13.35" customHeight="1" thickBot="1">
      <c r="A1001" s="159"/>
      <c r="B1001" s="454" t="str">
        <f ca="1">OFFSET(L!$C$1,MATCH("General"&amp;"Cpy",L!$A:$A,0)-1,SL,,)</f>
        <v>© 2021 Responsible Minerals Initiative. All rights reserved.</v>
      </c>
      <c r="C1001" s="454"/>
      <c r="D1001" s="454"/>
      <c r="E1001" s="31"/>
    </row>
    <row r="1002" spans="1:6" ht="13.2"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224" bestFit="1" customWidth="1"/>
    <col min="2" max="2" width="42.81640625" style="224" customWidth="1"/>
    <col min="3" max="3" width="63.81640625" style="224" customWidth="1"/>
    <col min="4" max="4" width="25.6328125" style="224" customWidth="1"/>
    <col min="5" max="5" width="12.6328125" style="224" customWidth="1"/>
    <col min="6" max="6" width="12.6328125" style="225" customWidth="1"/>
    <col min="7" max="7" width="15.36328125" style="224" customWidth="1"/>
    <col min="8" max="8" width="23.81640625" style="224" customWidth="1"/>
    <col min="9" max="9" width="28.1796875" style="224" customWidth="1"/>
    <col min="10" max="10" width="48.26953125" style="224" hidden="1" customWidth="1"/>
    <col min="11" max="11" width="49.7265625" style="224" hidden="1" customWidth="1"/>
    <col min="12" max="13" width="49.7265625" style="224" customWidth="1"/>
    <col min="14" max="16384" width="8.81640625" style="224"/>
  </cols>
  <sheetData>
    <row r="1" spans="1:16" ht="168.6" customHeight="1">
      <c r="A1" s="45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5"/>
      <c r="C1" s="455"/>
      <c r="D1" s="455"/>
      <c r="E1" s="455"/>
      <c r="F1" s="455"/>
      <c r="G1" s="455"/>
    </row>
    <row r="2" spans="1:16">
      <c r="A2" s="456"/>
      <c r="B2" s="456"/>
      <c r="C2" s="456"/>
      <c r="D2" s="456"/>
      <c r="E2" s="456"/>
      <c r="F2" s="456"/>
      <c r="G2" s="456"/>
      <c r="H2" s="456"/>
      <c r="I2" s="456"/>
    </row>
    <row r="3" spans="1:16">
      <c r="A3" s="456"/>
      <c r="B3" s="456"/>
      <c r="C3" s="456"/>
      <c r="D3" s="456"/>
      <c r="E3" s="456"/>
      <c r="F3" s="456"/>
      <c r="G3" s="456"/>
      <c r="H3" s="456"/>
      <c r="I3" s="456"/>
    </row>
    <row r="4" spans="1:16" s="227" customFormat="1" ht="50.4">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2"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J308" sqref="J308"/>
    </sheetView>
  </sheetViews>
  <sheetFormatPr defaultColWidth="8.81640625" defaultRowHeight="13.8"/>
  <cols>
    <col min="1" max="1" width="14.6328125" style="288" customWidth="1"/>
    <col min="2" max="2" width="14" style="288" customWidth="1"/>
    <col min="3" max="3" width="6.1796875" style="288" customWidth="1"/>
    <col min="4" max="4" width="56.26953125" style="288" customWidth="1"/>
    <col min="5" max="5" width="53.7265625" style="283" customWidth="1"/>
    <col min="6" max="6" width="54.1796875" style="288" customWidth="1"/>
    <col min="7" max="7" width="68.26953125" style="291" customWidth="1"/>
    <col min="8" max="8" width="49.26953125" style="288" customWidth="1"/>
    <col min="9" max="9" width="51.6328125" style="288" customWidth="1"/>
    <col min="10" max="10" width="50.26953125" style="288" customWidth="1"/>
    <col min="11" max="11" width="51.81640625" style="252" customWidth="1"/>
    <col min="12" max="12" width="66.81640625" style="318" customWidth="1"/>
    <col min="13" max="13" width="46.1796875" style="185" customWidth="1"/>
    <col min="14" max="15" width="8.81640625" style="185" customWidth="1"/>
    <col min="16" max="16384" width="8.8164062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2.8">
      <c r="A2" s="288" t="str">
        <f>B2&amp;C2</f>
        <v>InstructionsA1</v>
      </c>
      <c r="B2" s="288" t="s">
        <v>532</v>
      </c>
      <c r="C2" s="288" t="s">
        <v>631</v>
      </c>
      <c r="D2" s="288" t="s">
        <v>13372</v>
      </c>
      <c r="E2" s="288" t="s">
        <v>14340</v>
      </c>
      <c r="F2" s="338" t="s">
        <v>14438</v>
      </c>
      <c r="G2" s="291" t="s">
        <v>15457</v>
      </c>
      <c r="H2" s="288" t="s">
        <v>14686</v>
      </c>
      <c r="I2" s="288" t="s">
        <v>14743</v>
      </c>
      <c r="J2" s="288" t="s">
        <v>13686</v>
      </c>
      <c r="K2" s="282" t="s">
        <v>13502</v>
      </c>
      <c r="L2" s="294" t="s">
        <v>14859</v>
      </c>
      <c r="M2" s="288" t="s">
        <v>14912</v>
      </c>
    </row>
    <row r="3" spans="1:13">
      <c r="A3" s="288" t="str">
        <f t="shared" ref="A3" si="0">B3&amp;C3</f>
        <v>InstructionsA2</v>
      </c>
      <c r="B3" s="288" t="s">
        <v>532</v>
      </c>
      <c r="C3" s="288" t="s">
        <v>632</v>
      </c>
      <c r="D3" s="288" t="s">
        <v>854</v>
      </c>
      <c r="E3" s="254" t="s">
        <v>13515</v>
      </c>
      <c r="F3" s="338" t="s">
        <v>14439</v>
      </c>
      <c r="G3" s="291" t="s">
        <v>1041</v>
      </c>
      <c r="H3" s="288" t="s">
        <v>854</v>
      </c>
      <c r="I3" s="288" t="s">
        <v>1042</v>
      </c>
      <c r="J3" s="288" t="s">
        <v>1043</v>
      </c>
      <c r="K3" s="282" t="s">
        <v>398</v>
      </c>
      <c r="L3" s="294" t="s">
        <v>1174</v>
      </c>
      <c r="M3" s="288" t="s">
        <v>14913</v>
      </c>
    </row>
    <row r="4" spans="1:13" ht="345">
      <c r="A4" s="288" t="str">
        <f t="shared" ref="A4:A27" si="1">B4&amp;C4</f>
        <v>InstructionsA3</v>
      </c>
      <c r="B4" s="288" t="s">
        <v>532</v>
      </c>
      <c r="C4" s="288" t="s">
        <v>633</v>
      </c>
      <c r="D4" s="288" t="s">
        <v>13500</v>
      </c>
      <c r="E4" s="320" t="s">
        <v>14341</v>
      </c>
      <c r="F4" s="338"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8" t="s">
        <v>15284</v>
      </c>
      <c r="G5" s="291" t="s">
        <v>15458</v>
      </c>
      <c r="H5" s="288" t="s">
        <v>14688</v>
      </c>
      <c r="I5" s="288" t="s">
        <v>14745</v>
      </c>
      <c r="J5" s="288" t="s">
        <v>15105</v>
      </c>
      <c r="K5" s="288" t="s">
        <v>14801</v>
      </c>
      <c r="L5" s="288" t="s">
        <v>14861</v>
      </c>
      <c r="M5" s="288" t="s">
        <v>14915</v>
      </c>
    </row>
    <row r="6" spans="1:13" ht="41.4">
      <c r="A6" s="288" t="str">
        <f t="shared" si="1"/>
        <v>InstructionsA6</v>
      </c>
      <c r="B6" s="288" t="s">
        <v>532</v>
      </c>
      <c r="C6" s="288" t="s">
        <v>635</v>
      </c>
      <c r="D6" s="288" t="s">
        <v>410</v>
      </c>
      <c r="E6" s="254" t="s">
        <v>14343</v>
      </c>
      <c r="F6" s="338" t="s">
        <v>14441</v>
      </c>
      <c r="G6" s="291" t="s">
        <v>14634</v>
      </c>
      <c r="H6" s="288" t="s">
        <v>317</v>
      </c>
      <c r="I6" s="288" t="s">
        <v>281</v>
      </c>
      <c r="J6" s="288" t="s">
        <v>1329</v>
      </c>
      <c r="K6" s="282" t="s">
        <v>14802</v>
      </c>
      <c r="L6" s="294" t="s">
        <v>14862</v>
      </c>
      <c r="M6" s="288" t="s">
        <v>14916</v>
      </c>
    </row>
    <row r="7" spans="1:13" ht="27.6">
      <c r="A7" s="288" t="str">
        <f t="shared" si="1"/>
        <v>InstructionsA7</v>
      </c>
      <c r="B7" s="288" t="s">
        <v>532</v>
      </c>
      <c r="C7" s="288" t="s">
        <v>636</v>
      </c>
      <c r="D7" s="288" t="s">
        <v>2391</v>
      </c>
      <c r="E7" s="254" t="s">
        <v>13516</v>
      </c>
      <c r="F7" s="338"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8" t="s">
        <v>14443</v>
      </c>
      <c r="G8" s="291" t="s">
        <v>2490</v>
      </c>
      <c r="H8" s="288" t="s">
        <v>2493</v>
      </c>
      <c r="I8" s="288" t="s">
        <v>2494</v>
      </c>
      <c r="J8" s="288" t="s">
        <v>2499</v>
      </c>
      <c r="K8" s="282" t="s">
        <v>2500</v>
      </c>
      <c r="L8" s="294" t="s">
        <v>2505</v>
      </c>
      <c r="M8" s="288" t="s">
        <v>2506</v>
      </c>
    </row>
    <row r="9" spans="1:13" ht="409.6">
      <c r="A9" s="288" t="str">
        <f t="shared" si="1"/>
        <v>InstructionsA9</v>
      </c>
      <c r="B9" s="288" t="s">
        <v>532</v>
      </c>
      <c r="C9" s="288" t="s">
        <v>1177</v>
      </c>
      <c r="D9" s="288" t="s">
        <v>13717</v>
      </c>
      <c r="E9" s="319" t="s">
        <v>14345</v>
      </c>
      <c r="F9" s="339" t="s">
        <v>14444</v>
      </c>
      <c r="G9" s="342" t="s">
        <v>15459</v>
      </c>
      <c r="H9" s="290" t="s">
        <v>14689</v>
      </c>
      <c r="I9" s="290" t="s">
        <v>14746</v>
      </c>
      <c r="J9" s="290" t="s">
        <v>1440</v>
      </c>
      <c r="K9" s="284" t="s">
        <v>14803</v>
      </c>
      <c r="L9" s="295" t="s">
        <v>14863</v>
      </c>
      <c r="M9" s="288" t="s">
        <v>14918</v>
      </c>
    </row>
    <row r="10" spans="1:13" ht="41.4">
      <c r="A10" s="288" t="str">
        <f t="shared" si="1"/>
        <v>InstructionsA10</v>
      </c>
      <c r="B10" s="288" t="s">
        <v>532</v>
      </c>
      <c r="C10" s="288" t="s">
        <v>1178</v>
      </c>
      <c r="D10" s="288" t="s">
        <v>418</v>
      </c>
      <c r="E10" s="254" t="s">
        <v>13517</v>
      </c>
      <c r="F10" s="338" t="s">
        <v>14445</v>
      </c>
      <c r="G10" s="291" t="s">
        <v>824</v>
      </c>
      <c r="H10" s="288" t="s">
        <v>318</v>
      </c>
      <c r="I10" s="288" t="s">
        <v>283</v>
      </c>
      <c r="J10" s="288" t="s">
        <v>1330</v>
      </c>
      <c r="K10" s="249" t="s">
        <v>400</v>
      </c>
      <c r="L10" s="294" t="s">
        <v>1250</v>
      </c>
      <c r="M10" s="288" t="s">
        <v>14919</v>
      </c>
    </row>
    <row r="11" spans="1:13" ht="41.4">
      <c r="A11" s="288" t="str">
        <f t="shared" si="1"/>
        <v>InstructionsA11</v>
      </c>
      <c r="B11" s="288" t="s">
        <v>532</v>
      </c>
      <c r="C11" s="288" t="s">
        <v>1179</v>
      </c>
      <c r="D11" s="288" t="s">
        <v>419</v>
      </c>
      <c r="E11" s="254" t="s">
        <v>13518</v>
      </c>
      <c r="F11" s="338" t="s">
        <v>14446</v>
      </c>
      <c r="G11" s="291" t="s">
        <v>351</v>
      </c>
      <c r="H11" s="288" t="s">
        <v>425</v>
      </c>
      <c r="I11" s="288" t="s">
        <v>284</v>
      </c>
      <c r="J11" s="288" t="s">
        <v>1331</v>
      </c>
      <c r="K11" s="249" t="s">
        <v>401</v>
      </c>
      <c r="L11" s="294" t="s">
        <v>6</v>
      </c>
      <c r="M11" s="288" t="s">
        <v>14920</v>
      </c>
    </row>
    <row r="12" spans="1:13" ht="41.4">
      <c r="A12" s="288" t="str">
        <f t="shared" si="1"/>
        <v>InstructionsA12</v>
      </c>
      <c r="B12" s="288" t="s">
        <v>532</v>
      </c>
      <c r="C12" s="288" t="s">
        <v>1180</v>
      </c>
      <c r="D12" s="288" t="s">
        <v>420</v>
      </c>
      <c r="E12" s="254" t="s">
        <v>13519</v>
      </c>
      <c r="F12" s="338" t="s">
        <v>14447</v>
      </c>
      <c r="G12" s="291" t="s">
        <v>352</v>
      </c>
      <c r="H12" s="288" t="s">
        <v>426</v>
      </c>
      <c r="I12" s="288" t="s">
        <v>285</v>
      </c>
      <c r="J12" s="288" t="s">
        <v>1332</v>
      </c>
      <c r="K12" s="249" t="s">
        <v>123</v>
      </c>
      <c r="L12" s="294" t="s">
        <v>7</v>
      </c>
      <c r="M12" s="288" t="s">
        <v>14921</v>
      </c>
    </row>
    <row r="13" spans="1:13" ht="41.4">
      <c r="A13" s="288" t="str">
        <f t="shared" si="1"/>
        <v>InstructionsA13</v>
      </c>
      <c r="B13" s="288" t="s">
        <v>532</v>
      </c>
      <c r="C13" s="288" t="s">
        <v>1181</v>
      </c>
      <c r="D13" s="288" t="s">
        <v>411</v>
      </c>
      <c r="E13" s="254" t="s">
        <v>13520</v>
      </c>
      <c r="F13" s="338" t="s">
        <v>14448</v>
      </c>
      <c r="G13" s="291" t="s">
        <v>353</v>
      </c>
      <c r="H13" s="288" t="s">
        <v>427</v>
      </c>
      <c r="I13" s="288" t="s">
        <v>286</v>
      </c>
      <c r="J13" s="288" t="s">
        <v>1333</v>
      </c>
      <c r="K13" s="249" t="s">
        <v>122</v>
      </c>
      <c r="L13" s="294" t="s">
        <v>8</v>
      </c>
      <c r="M13" s="288" t="s">
        <v>14922</v>
      </c>
    </row>
    <row r="14" spans="1:13" ht="69">
      <c r="A14" s="288" t="str">
        <f t="shared" si="1"/>
        <v>InstructionsA14</v>
      </c>
      <c r="B14" s="288" t="s">
        <v>532</v>
      </c>
      <c r="C14" s="288" t="s">
        <v>1182</v>
      </c>
      <c r="D14" s="288" t="s">
        <v>412</v>
      </c>
      <c r="E14" s="254" t="s">
        <v>13521</v>
      </c>
      <c r="F14" s="338" t="s">
        <v>14449</v>
      </c>
      <c r="G14" s="291" t="s">
        <v>354</v>
      </c>
      <c r="H14" s="288" t="s">
        <v>428</v>
      </c>
      <c r="I14" s="288" t="s">
        <v>287</v>
      </c>
      <c r="J14" s="288" t="s">
        <v>1362</v>
      </c>
      <c r="K14" s="249" t="s">
        <v>121</v>
      </c>
      <c r="L14" s="294" t="s">
        <v>9</v>
      </c>
      <c r="M14" s="288" t="s">
        <v>14923</v>
      </c>
    </row>
    <row r="15" spans="1:13" ht="27.6">
      <c r="A15" s="288" t="str">
        <f t="shared" si="1"/>
        <v>InstructionsA15</v>
      </c>
      <c r="B15" s="288" t="s">
        <v>532</v>
      </c>
      <c r="C15" s="288" t="s">
        <v>414</v>
      </c>
      <c r="D15" s="288" t="s">
        <v>413</v>
      </c>
      <c r="E15" s="254" t="s">
        <v>13522</v>
      </c>
      <c r="F15" s="338" t="s">
        <v>14450</v>
      </c>
      <c r="G15" s="291" t="s">
        <v>355</v>
      </c>
      <c r="H15" s="288" t="s">
        <v>429</v>
      </c>
      <c r="I15" s="288" t="s">
        <v>288</v>
      </c>
      <c r="J15" s="288" t="s">
        <v>1334</v>
      </c>
      <c r="K15" s="249" t="s">
        <v>120</v>
      </c>
      <c r="L15" s="294" t="s">
        <v>10</v>
      </c>
      <c r="M15" s="288" t="s">
        <v>14924</v>
      </c>
    </row>
    <row r="16" spans="1:13" ht="82.8">
      <c r="A16" s="288" t="str">
        <f t="shared" si="1"/>
        <v>InstructionsA16</v>
      </c>
      <c r="B16" s="288" t="s">
        <v>532</v>
      </c>
      <c r="C16" s="288" t="s">
        <v>1183</v>
      </c>
      <c r="D16" s="288" t="s">
        <v>13367</v>
      </c>
      <c r="E16" s="254" t="s">
        <v>14219</v>
      </c>
      <c r="F16" s="338" t="s">
        <v>14451</v>
      </c>
      <c r="G16" s="291" t="s">
        <v>15460</v>
      </c>
      <c r="H16" s="288" t="s">
        <v>430</v>
      </c>
      <c r="I16" s="288" t="s">
        <v>289</v>
      </c>
      <c r="J16" s="288" t="s">
        <v>1335</v>
      </c>
      <c r="K16" s="282" t="s">
        <v>402</v>
      </c>
      <c r="L16" s="294" t="s">
        <v>11</v>
      </c>
      <c r="M16" s="288" t="s">
        <v>14925</v>
      </c>
    </row>
    <row r="17" spans="1:13" ht="27.6">
      <c r="A17" s="288" t="str">
        <f t="shared" si="1"/>
        <v>InstructionsA17</v>
      </c>
      <c r="B17" s="288" t="s">
        <v>532</v>
      </c>
      <c r="C17" s="288" t="s">
        <v>1184</v>
      </c>
      <c r="D17" s="288" t="s">
        <v>415</v>
      </c>
      <c r="E17" s="254" t="s">
        <v>13523</v>
      </c>
      <c r="F17" s="338" t="s">
        <v>14452</v>
      </c>
      <c r="G17" s="291" t="s">
        <v>15461</v>
      </c>
      <c r="H17" s="288" t="s">
        <v>431</v>
      </c>
      <c r="I17" s="288" t="s">
        <v>290</v>
      </c>
      <c r="J17" s="288" t="s">
        <v>1336</v>
      </c>
      <c r="K17" s="282" t="s">
        <v>403</v>
      </c>
      <c r="L17" s="294" t="s">
        <v>12</v>
      </c>
      <c r="M17" s="288" t="s">
        <v>14926</v>
      </c>
    </row>
    <row r="18" spans="1:13" ht="69">
      <c r="A18" s="288" t="str">
        <f t="shared" si="1"/>
        <v>InstructionsA18</v>
      </c>
      <c r="B18" s="288" t="s">
        <v>532</v>
      </c>
      <c r="C18" s="288" t="s">
        <v>1185</v>
      </c>
      <c r="D18" s="288" t="s">
        <v>2205</v>
      </c>
      <c r="E18" s="254" t="s">
        <v>13524</v>
      </c>
      <c r="F18" s="338"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8" t="s">
        <v>14454</v>
      </c>
      <c r="G19" s="291" t="s">
        <v>15458</v>
      </c>
      <c r="H19" s="288" t="s">
        <v>14690</v>
      </c>
      <c r="I19" s="288" t="s">
        <v>14745</v>
      </c>
      <c r="J19" s="288" t="s">
        <v>15107</v>
      </c>
      <c r="K19" s="288" t="s">
        <v>14804</v>
      </c>
      <c r="L19" s="288" t="s">
        <v>14864</v>
      </c>
      <c r="M19" s="288" t="s">
        <v>14928</v>
      </c>
    </row>
    <row r="20" spans="1:13" ht="41.4">
      <c r="A20" s="288" t="str">
        <f t="shared" si="1"/>
        <v>InstructionsA20</v>
      </c>
      <c r="B20" s="288" t="s">
        <v>532</v>
      </c>
      <c r="C20" s="288" t="s">
        <v>1187</v>
      </c>
      <c r="D20" s="288" t="s">
        <v>421</v>
      </c>
      <c r="E20" s="254" t="s">
        <v>13525</v>
      </c>
      <c r="F20" s="338" t="s">
        <v>14455</v>
      </c>
      <c r="G20" s="291" t="s">
        <v>356</v>
      </c>
      <c r="H20" s="288" t="s">
        <v>432</v>
      </c>
      <c r="I20" s="288" t="s">
        <v>291</v>
      </c>
      <c r="J20" s="288" t="s">
        <v>1337</v>
      </c>
      <c r="K20" s="282" t="s">
        <v>404</v>
      </c>
      <c r="L20" s="294" t="s">
        <v>13</v>
      </c>
      <c r="M20" s="288" t="s">
        <v>14929</v>
      </c>
    </row>
    <row r="21" spans="1:13" ht="41.4">
      <c r="A21" s="288" t="str">
        <f t="shared" si="1"/>
        <v>InstructionsA21</v>
      </c>
      <c r="B21" s="288" t="s">
        <v>532</v>
      </c>
      <c r="C21" s="288" t="s">
        <v>1188</v>
      </c>
      <c r="D21" s="288" t="s">
        <v>422</v>
      </c>
      <c r="E21" s="254" t="s">
        <v>13526</v>
      </c>
      <c r="F21" s="338"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8" t="s">
        <v>15285</v>
      </c>
      <c r="G22" s="291" t="s">
        <v>14635</v>
      </c>
      <c r="H22" s="288" t="s">
        <v>14690</v>
      </c>
      <c r="I22" s="288" t="s">
        <v>14747</v>
      </c>
      <c r="J22" s="288" t="s">
        <v>15109</v>
      </c>
      <c r="K22" s="288" t="s">
        <v>14805</v>
      </c>
      <c r="L22" s="288" t="s">
        <v>14865</v>
      </c>
      <c r="M22" s="288" t="s">
        <v>14931</v>
      </c>
    </row>
    <row r="23" spans="1:13" ht="138.6">
      <c r="A23" s="288" t="str">
        <f t="shared" si="1"/>
        <v>InstructionsA24</v>
      </c>
      <c r="B23" s="288" t="s">
        <v>532</v>
      </c>
      <c r="C23" s="288" t="s">
        <v>1190</v>
      </c>
      <c r="D23" s="290" t="s">
        <v>15134</v>
      </c>
      <c r="E23" s="290" t="s">
        <v>14348</v>
      </c>
      <c r="F23" s="339" t="s">
        <v>14457</v>
      </c>
      <c r="G23" s="342" t="s">
        <v>15463</v>
      </c>
      <c r="H23" s="290" t="s">
        <v>14691</v>
      </c>
      <c r="I23" s="290" t="s">
        <v>14748</v>
      </c>
      <c r="J23" s="290" t="s">
        <v>15133</v>
      </c>
      <c r="K23" s="290" t="s">
        <v>14806</v>
      </c>
      <c r="L23" s="290" t="s">
        <v>14866</v>
      </c>
      <c r="M23" s="290" t="s">
        <v>14932</v>
      </c>
    </row>
    <row r="24" spans="1:13" ht="113.4">
      <c r="A24" s="288" t="str">
        <f t="shared" si="1"/>
        <v>InstructionsA25</v>
      </c>
      <c r="B24" s="288" t="s">
        <v>532</v>
      </c>
      <c r="C24" s="288" t="s">
        <v>1191</v>
      </c>
      <c r="D24" s="290" t="s">
        <v>15135</v>
      </c>
      <c r="E24" s="290" t="s">
        <v>14349</v>
      </c>
      <c r="F24" s="339" t="s">
        <v>15286</v>
      </c>
      <c r="G24" s="342" t="s">
        <v>14636</v>
      </c>
      <c r="H24" s="290" t="s">
        <v>14692</v>
      </c>
      <c r="I24" s="290" t="s">
        <v>14749</v>
      </c>
      <c r="J24" s="290" t="s">
        <v>15550</v>
      </c>
      <c r="K24" s="290" t="s">
        <v>14807</v>
      </c>
      <c r="L24" s="290" t="s">
        <v>14867</v>
      </c>
      <c r="M24" s="290" t="s">
        <v>14933</v>
      </c>
    </row>
    <row r="25" spans="1:13" ht="409.6">
      <c r="A25" s="288" t="str">
        <f t="shared" si="1"/>
        <v>InstructionsA26</v>
      </c>
      <c r="B25" s="288" t="s">
        <v>532</v>
      </c>
      <c r="C25" s="288" t="s">
        <v>1192</v>
      </c>
      <c r="D25" s="290" t="s">
        <v>12617</v>
      </c>
      <c r="E25" s="321" t="s">
        <v>14350</v>
      </c>
      <c r="F25" s="342" t="s">
        <v>15547</v>
      </c>
      <c r="G25" s="343" t="s">
        <v>14637</v>
      </c>
      <c r="H25" s="296" t="s">
        <v>14693</v>
      </c>
      <c r="I25" s="296" t="s">
        <v>14750</v>
      </c>
      <c r="J25" s="336" t="s">
        <v>15450</v>
      </c>
      <c r="K25" s="297" t="s">
        <v>14808</v>
      </c>
      <c r="L25" s="298" t="s">
        <v>15451</v>
      </c>
      <c r="M25" s="285" t="s">
        <v>14934</v>
      </c>
    </row>
    <row r="26" spans="1:13" ht="41.4">
      <c r="A26" s="288" t="str">
        <f t="shared" si="1"/>
        <v>InstructionsA27</v>
      </c>
      <c r="B26" s="288" t="s">
        <v>532</v>
      </c>
      <c r="C26" s="288" t="s">
        <v>416</v>
      </c>
      <c r="D26" s="288" t="s">
        <v>417</v>
      </c>
      <c r="E26" s="320" t="s">
        <v>13527</v>
      </c>
      <c r="F26" s="338" t="s">
        <v>14458</v>
      </c>
      <c r="G26" s="291" t="s">
        <v>13513</v>
      </c>
      <c r="H26" s="288" t="s">
        <v>434</v>
      </c>
      <c r="I26" s="288" t="s">
        <v>293</v>
      </c>
      <c r="J26" s="288" t="s">
        <v>1339</v>
      </c>
      <c r="K26" s="282" t="s">
        <v>406</v>
      </c>
      <c r="L26" s="294" t="s">
        <v>15</v>
      </c>
      <c r="M26" s="288" t="s">
        <v>14935</v>
      </c>
    </row>
    <row r="27" spans="1:13" ht="360">
      <c r="A27" s="288" t="str">
        <f t="shared" si="1"/>
        <v>InstructionsA28</v>
      </c>
      <c r="B27" s="288" t="s">
        <v>532</v>
      </c>
      <c r="C27" s="288" t="s">
        <v>993</v>
      </c>
      <c r="D27" s="290" t="s">
        <v>12630</v>
      </c>
      <c r="E27" s="321" t="s">
        <v>14351</v>
      </c>
      <c r="F27" s="333" t="s">
        <v>14459</v>
      </c>
      <c r="G27" s="344"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9" t="s">
        <v>14460</v>
      </c>
      <c r="G28" s="342"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9" t="s">
        <v>14461</v>
      </c>
      <c r="G29" s="342" t="s">
        <v>15464</v>
      </c>
      <c r="H29" s="290" t="s">
        <v>14696</v>
      </c>
      <c r="I29" s="290" t="s">
        <v>15245</v>
      </c>
      <c r="J29" s="290" t="s">
        <v>15551</v>
      </c>
      <c r="K29" s="290" t="s">
        <v>14811</v>
      </c>
      <c r="L29" s="290" t="s">
        <v>14870</v>
      </c>
      <c r="M29" s="290" t="s">
        <v>14938</v>
      </c>
    </row>
    <row r="30" spans="1:13" ht="214.2">
      <c r="A30" s="288" t="str">
        <f t="shared" si="3"/>
        <v>InstructionsA31</v>
      </c>
      <c r="B30" s="288" t="s">
        <v>532</v>
      </c>
      <c r="C30" s="288" t="s">
        <v>1195</v>
      </c>
      <c r="D30" s="290" t="s">
        <v>14225</v>
      </c>
      <c r="E30" s="319" t="s">
        <v>14354</v>
      </c>
      <c r="F30" s="339" t="s">
        <v>14462</v>
      </c>
      <c r="G30" s="342" t="s">
        <v>15465</v>
      </c>
      <c r="H30" s="290" t="s">
        <v>14697</v>
      </c>
      <c r="I30" s="290" t="s">
        <v>14752</v>
      </c>
      <c r="J30" s="290" t="s">
        <v>14226</v>
      </c>
      <c r="K30" s="284" t="s">
        <v>14812</v>
      </c>
      <c r="L30" s="299" t="s">
        <v>14871</v>
      </c>
      <c r="M30" s="290" t="s">
        <v>14939</v>
      </c>
    </row>
    <row r="31" spans="1:13" ht="243.6">
      <c r="A31" s="288" t="str">
        <f t="shared" si="3"/>
        <v>InstructionsA32</v>
      </c>
      <c r="B31" s="288" t="s">
        <v>532</v>
      </c>
      <c r="C31" s="288" t="s">
        <v>1196</v>
      </c>
      <c r="D31" s="290" t="s">
        <v>14227</v>
      </c>
      <c r="E31" s="321" t="s">
        <v>14355</v>
      </c>
      <c r="F31" s="337" t="s">
        <v>14463</v>
      </c>
      <c r="G31" s="345" t="s">
        <v>15466</v>
      </c>
      <c r="H31" s="296" t="s">
        <v>14698</v>
      </c>
      <c r="I31" s="285" t="s">
        <v>14753</v>
      </c>
      <c r="J31" s="285" t="s">
        <v>14228</v>
      </c>
      <c r="K31" s="297" t="s">
        <v>14813</v>
      </c>
      <c r="L31" s="298" t="s">
        <v>14872</v>
      </c>
      <c r="M31" s="285" t="s">
        <v>14940</v>
      </c>
    </row>
    <row r="32" spans="1:13" ht="115.2">
      <c r="A32" s="288" t="str">
        <f t="shared" si="3"/>
        <v>InstructionsA33</v>
      </c>
      <c r="B32" s="288" t="s">
        <v>532</v>
      </c>
      <c r="C32" s="288" t="s">
        <v>1197</v>
      </c>
      <c r="D32" s="290" t="s">
        <v>14229</v>
      </c>
      <c r="E32" s="255" t="s">
        <v>14356</v>
      </c>
      <c r="F32" s="337" t="s">
        <v>14464</v>
      </c>
      <c r="G32" s="345" t="s">
        <v>15467</v>
      </c>
      <c r="H32" s="296" t="s">
        <v>14230</v>
      </c>
      <c r="I32" s="285" t="s">
        <v>14231</v>
      </c>
      <c r="J32" s="285" t="s">
        <v>14232</v>
      </c>
      <c r="K32" s="297" t="s">
        <v>14233</v>
      </c>
      <c r="L32" s="298" t="s">
        <v>14873</v>
      </c>
      <c r="M32" s="285" t="s">
        <v>14234</v>
      </c>
    </row>
    <row r="33" spans="1:13" ht="115.2">
      <c r="A33" s="288" t="str">
        <f t="shared" si="3"/>
        <v>InstructionsA34</v>
      </c>
      <c r="B33" s="288" t="s">
        <v>532</v>
      </c>
      <c r="C33" s="288" t="s">
        <v>1198</v>
      </c>
      <c r="D33" s="290" t="s">
        <v>14235</v>
      </c>
      <c r="E33" s="321" t="s">
        <v>14236</v>
      </c>
      <c r="F33" s="337" t="s">
        <v>14465</v>
      </c>
      <c r="G33" s="345" t="s">
        <v>15468</v>
      </c>
      <c r="H33" s="296" t="s">
        <v>14237</v>
      </c>
      <c r="I33" s="285" t="s">
        <v>15455</v>
      </c>
      <c r="J33" s="285" t="s">
        <v>14238</v>
      </c>
      <c r="K33" s="297" t="s">
        <v>14239</v>
      </c>
      <c r="L33" s="298" t="s">
        <v>14240</v>
      </c>
      <c r="M33" s="285" t="s">
        <v>14241</v>
      </c>
    </row>
    <row r="34" spans="1:13" ht="41.4">
      <c r="A34" s="288" t="str">
        <f t="shared" si="3"/>
        <v>InstructionsA35</v>
      </c>
      <c r="B34" s="288" t="s">
        <v>532</v>
      </c>
      <c r="C34" s="288" t="s">
        <v>14220</v>
      </c>
      <c r="D34" s="288" t="s">
        <v>1029</v>
      </c>
      <c r="E34" s="254" t="s">
        <v>13528</v>
      </c>
      <c r="F34" s="338" t="s">
        <v>14466</v>
      </c>
      <c r="G34" s="291" t="s">
        <v>943</v>
      </c>
      <c r="H34" s="288" t="s">
        <v>944</v>
      </c>
      <c r="I34" s="288" t="s">
        <v>294</v>
      </c>
      <c r="J34" s="288" t="s">
        <v>1045</v>
      </c>
      <c r="K34" s="250" t="s">
        <v>407</v>
      </c>
      <c r="L34" s="294" t="s">
        <v>1251</v>
      </c>
      <c r="M34" s="288" t="s">
        <v>14941</v>
      </c>
    </row>
    <row r="35" spans="1:13" ht="57.6">
      <c r="A35" s="288" t="str">
        <f t="shared" si="3"/>
        <v>InstructionsA37</v>
      </c>
      <c r="B35" s="288" t="s">
        <v>532</v>
      </c>
      <c r="C35" s="288" t="s">
        <v>1199</v>
      </c>
      <c r="D35" s="288" t="s">
        <v>14222</v>
      </c>
      <c r="E35" s="255" t="s">
        <v>14357</v>
      </c>
      <c r="F35" s="337" t="s">
        <v>14467</v>
      </c>
      <c r="G35" s="346"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8" t="s">
        <v>15287</v>
      </c>
      <c r="G36" s="291" t="s">
        <v>14640</v>
      </c>
      <c r="H36" s="288" t="s">
        <v>14244</v>
      </c>
      <c r="I36" s="288" t="s">
        <v>14245</v>
      </c>
      <c r="J36" s="288" t="s">
        <v>15552</v>
      </c>
      <c r="K36" s="282" t="s">
        <v>14246</v>
      </c>
      <c r="L36" s="294" t="s">
        <v>14875</v>
      </c>
      <c r="M36" s="288" t="s">
        <v>14247</v>
      </c>
    </row>
    <row r="37" spans="1:13" ht="96.6">
      <c r="A37" s="288" t="str">
        <f t="shared" si="3"/>
        <v>InstructionsA39</v>
      </c>
      <c r="B37" s="288" t="s">
        <v>532</v>
      </c>
      <c r="C37" s="288" t="s">
        <v>1201</v>
      </c>
      <c r="D37" s="288" t="s">
        <v>15113</v>
      </c>
      <c r="E37" s="288" t="s">
        <v>14358</v>
      </c>
      <c r="F37" s="338" t="s">
        <v>14468</v>
      </c>
      <c r="G37" s="291" t="s">
        <v>15469</v>
      </c>
      <c r="H37" s="288" t="s">
        <v>14700</v>
      </c>
      <c r="I37" s="288" t="s">
        <v>14755</v>
      </c>
      <c r="J37" s="288" t="s">
        <v>15112</v>
      </c>
      <c r="K37" s="288" t="s">
        <v>14815</v>
      </c>
      <c r="L37" s="288" t="s">
        <v>14876</v>
      </c>
      <c r="M37" s="288" t="s">
        <v>14943</v>
      </c>
    </row>
    <row r="38" spans="1:13" ht="110.4">
      <c r="A38" s="288" t="str">
        <f t="shared" si="3"/>
        <v>InstructionsA40</v>
      </c>
      <c r="B38" s="288" t="s">
        <v>532</v>
      </c>
      <c r="C38" s="288" t="s">
        <v>423</v>
      </c>
      <c r="D38" s="288" t="s">
        <v>15115</v>
      </c>
      <c r="E38" s="288" t="s">
        <v>14359</v>
      </c>
      <c r="F38" s="338" t="s">
        <v>14469</v>
      </c>
      <c r="G38" s="291" t="s">
        <v>15470</v>
      </c>
      <c r="H38" s="288" t="s">
        <v>14701</v>
      </c>
      <c r="I38" s="288" t="s">
        <v>14755</v>
      </c>
      <c r="J38" s="288" t="s">
        <v>15114</v>
      </c>
      <c r="K38" s="288" t="s">
        <v>14816</v>
      </c>
      <c r="L38" s="288" t="s">
        <v>14877</v>
      </c>
      <c r="M38" s="288" t="s">
        <v>14943</v>
      </c>
    </row>
    <row r="39" spans="1:13" ht="100.8">
      <c r="A39" s="288" t="str">
        <f t="shared" si="3"/>
        <v>InstructionsA41</v>
      </c>
      <c r="B39" s="288" t="s">
        <v>532</v>
      </c>
      <c r="C39" s="288" t="s">
        <v>994</v>
      </c>
      <c r="D39" s="290" t="s">
        <v>14268</v>
      </c>
      <c r="E39" s="255" t="s">
        <v>14360</v>
      </c>
      <c r="F39" s="333" t="s">
        <v>14470</v>
      </c>
      <c r="G39" s="343" t="s">
        <v>15471</v>
      </c>
      <c r="H39" s="285" t="s">
        <v>14702</v>
      </c>
      <c r="I39" s="285" t="s">
        <v>14756</v>
      </c>
      <c r="J39" s="285" t="s">
        <v>15553</v>
      </c>
      <c r="K39" s="297" t="s">
        <v>14817</v>
      </c>
      <c r="L39" s="298" t="s">
        <v>14878</v>
      </c>
      <c r="M39" s="285" t="s">
        <v>14944</v>
      </c>
    </row>
    <row r="40" spans="1:13" ht="358.8">
      <c r="A40" s="288" t="str">
        <f t="shared" si="3"/>
        <v>InstructionsA42</v>
      </c>
      <c r="B40" s="288" t="s">
        <v>532</v>
      </c>
      <c r="C40" s="288" t="s">
        <v>1202</v>
      </c>
      <c r="D40" s="288" t="s">
        <v>15260</v>
      </c>
      <c r="E40" s="288" t="s">
        <v>14361</v>
      </c>
      <c r="F40" s="338" t="s">
        <v>15259</v>
      </c>
      <c r="G40" s="291" t="s">
        <v>15472</v>
      </c>
      <c r="H40" s="288" t="s">
        <v>15261</v>
      </c>
      <c r="I40" s="288" t="s">
        <v>15265</v>
      </c>
      <c r="J40" s="288" t="s">
        <v>15554</v>
      </c>
      <c r="K40" s="288" t="s">
        <v>15262</v>
      </c>
      <c r="L40" s="288" t="s">
        <v>15264</v>
      </c>
      <c r="M40" s="288" t="s">
        <v>15263</v>
      </c>
    </row>
    <row r="41" spans="1:13" ht="201.6">
      <c r="A41" s="288" t="str">
        <f t="shared" si="3"/>
        <v>InstructionsA43</v>
      </c>
      <c r="B41" s="288" t="s">
        <v>532</v>
      </c>
      <c r="C41" s="288" t="s">
        <v>1203</v>
      </c>
      <c r="D41" s="290" t="s">
        <v>14252</v>
      </c>
      <c r="E41" s="321" t="s">
        <v>14362</v>
      </c>
      <c r="F41" s="333" t="s">
        <v>14471</v>
      </c>
      <c r="G41" s="343" t="s">
        <v>15473</v>
      </c>
      <c r="H41" s="296" t="s">
        <v>14703</v>
      </c>
      <c r="I41" s="285" t="s">
        <v>14757</v>
      </c>
      <c r="J41" s="285" t="s">
        <v>14253</v>
      </c>
      <c r="K41" s="297" t="s">
        <v>14818</v>
      </c>
      <c r="L41" s="298" t="s">
        <v>14879</v>
      </c>
      <c r="M41" s="285" t="s">
        <v>14945</v>
      </c>
    </row>
    <row r="42" spans="1:13" ht="187.2">
      <c r="A42" s="288" t="str">
        <f t="shared" si="3"/>
        <v>InstructionsA44</v>
      </c>
      <c r="B42" s="288" t="s">
        <v>532</v>
      </c>
      <c r="C42" s="288" t="s">
        <v>1204</v>
      </c>
      <c r="D42" s="288" t="s">
        <v>14254</v>
      </c>
      <c r="E42" s="321" t="s">
        <v>14363</v>
      </c>
      <c r="F42" s="333" t="s">
        <v>14472</v>
      </c>
      <c r="G42" s="343" t="s">
        <v>14641</v>
      </c>
      <c r="H42" s="296" t="s">
        <v>14704</v>
      </c>
      <c r="I42" s="285" t="s">
        <v>14758</v>
      </c>
      <c r="J42" s="285" t="s">
        <v>14255</v>
      </c>
      <c r="K42" s="297" t="s">
        <v>14819</v>
      </c>
      <c r="L42" s="298" t="s">
        <v>14880</v>
      </c>
      <c r="M42" s="285" t="s">
        <v>14946</v>
      </c>
    </row>
    <row r="43" spans="1:13" ht="86.4">
      <c r="A43" s="288" t="str">
        <f t="shared" si="3"/>
        <v>InstructionsA45</v>
      </c>
      <c r="B43" s="288" t="s">
        <v>532</v>
      </c>
      <c r="C43" s="288" t="s">
        <v>1205</v>
      </c>
      <c r="D43" s="288" t="s">
        <v>14256</v>
      </c>
      <c r="E43" s="321" t="s">
        <v>14257</v>
      </c>
      <c r="F43" s="333" t="s">
        <v>14473</v>
      </c>
      <c r="G43" s="343"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8" t="s">
        <v>14474</v>
      </c>
      <c r="G44" s="291" t="s">
        <v>14643</v>
      </c>
      <c r="H44" s="288" t="s">
        <v>14706</v>
      </c>
      <c r="I44" s="288" t="s">
        <v>14760</v>
      </c>
      <c r="J44" s="288" t="s">
        <v>15116</v>
      </c>
      <c r="K44" s="288" t="s">
        <v>14821</v>
      </c>
      <c r="L44" s="288" t="s">
        <v>14882</v>
      </c>
      <c r="M44" s="288" t="s">
        <v>14948</v>
      </c>
    </row>
    <row r="45" spans="1:13" ht="41.4">
      <c r="A45" s="288" t="str">
        <f t="shared" si="3"/>
        <v>InstructionsA48</v>
      </c>
      <c r="B45" s="288" t="s">
        <v>532</v>
      </c>
      <c r="C45" s="288" t="s">
        <v>2515</v>
      </c>
      <c r="D45" s="288" t="s">
        <v>1018</v>
      </c>
      <c r="E45" s="254" t="s">
        <v>13529</v>
      </c>
      <c r="F45" s="338" t="s">
        <v>14475</v>
      </c>
      <c r="G45" s="291" t="s">
        <v>14644</v>
      </c>
      <c r="H45" s="288" t="s">
        <v>14707</v>
      </c>
      <c r="I45" s="288" t="s">
        <v>14761</v>
      </c>
      <c r="J45" s="288" t="s">
        <v>1340</v>
      </c>
      <c r="K45" s="282" t="s">
        <v>14822</v>
      </c>
      <c r="L45" s="294" t="s">
        <v>14883</v>
      </c>
      <c r="M45" s="288" t="s">
        <v>14949</v>
      </c>
    </row>
    <row r="46" spans="1:13" ht="27.6">
      <c r="A46" s="288" t="str">
        <f t="shared" si="3"/>
        <v>InstructionsA49</v>
      </c>
      <c r="B46" s="288" t="s">
        <v>532</v>
      </c>
      <c r="C46" s="288" t="s">
        <v>1207</v>
      </c>
      <c r="D46" s="288" t="s">
        <v>855</v>
      </c>
      <c r="E46" s="254" t="s">
        <v>13530</v>
      </c>
      <c r="F46" s="338" t="s">
        <v>14476</v>
      </c>
      <c r="G46" s="291" t="s">
        <v>1171</v>
      </c>
      <c r="H46" s="288" t="s">
        <v>435</v>
      </c>
      <c r="I46" s="288" t="s">
        <v>295</v>
      </c>
      <c r="J46" s="288" t="s">
        <v>1176</v>
      </c>
      <c r="K46" s="282" t="s">
        <v>190</v>
      </c>
      <c r="L46" s="294" t="s">
        <v>592</v>
      </c>
      <c r="M46" s="288" t="s">
        <v>14950</v>
      </c>
    </row>
    <row r="47" spans="1:13" ht="86.4">
      <c r="A47" s="288" t="str">
        <f t="shared" si="3"/>
        <v>InstructionsA50</v>
      </c>
      <c r="B47" s="288" t="s">
        <v>532</v>
      </c>
      <c r="C47" s="288" t="s">
        <v>1208</v>
      </c>
      <c r="D47" s="288" t="s">
        <v>12637</v>
      </c>
      <c r="E47" s="321" t="s">
        <v>14365</v>
      </c>
      <c r="F47" s="333" t="s">
        <v>14477</v>
      </c>
      <c r="G47" s="343" t="s">
        <v>14645</v>
      </c>
      <c r="H47" s="296" t="s">
        <v>14708</v>
      </c>
      <c r="I47" s="296" t="s">
        <v>14762</v>
      </c>
      <c r="J47" s="336" t="s">
        <v>15555</v>
      </c>
      <c r="K47" s="297" t="s">
        <v>14823</v>
      </c>
      <c r="L47" s="298" t="s">
        <v>14884</v>
      </c>
      <c r="M47" s="296" t="s">
        <v>14951</v>
      </c>
    </row>
    <row r="48" spans="1:13" ht="69">
      <c r="A48" s="241" t="s">
        <v>14250</v>
      </c>
      <c r="B48" s="241" t="s">
        <v>532</v>
      </c>
      <c r="C48" s="288" t="s">
        <v>1209</v>
      </c>
      <c r="D48" s="241" t="s">
        <v>12933</v>
      </c>
      <c r="E48" s="320" t="s">
        <v>13531</v>
      </c>
      <c r="F48" s="338" t="s">
        <v>14478</v>
      </c>
      <c r="G48" s="347" t="s">
        <v>14646</v>
      </c>
      <c r="H48" s="288" t="s">
        <v>12934</v>
      </c>
      <c r="I48" s="288" t="s">
        <v>13700</v>
      </c>
      <c r="J48" s="288" t="s">
        <v>15556</v>
      </c>
      <c r="K48" s="291" t="s">
        <v>13503</v>
      </c>
      <c r="L48" s="300" t="s">
        <v>13665</v>
      </c>
      <c r="M48" s="288" t="s">
        <v>13650</v>
      </c>
    </row>
    <row r="49" spans="1:13" ht="55.2">
      <c r="A49" s="288" t="str">
        <f t="shared" ref="A49:A74" si="4">B49&amp;C49</f>
        <v>InstructionsA52</v>
      </c>
      <c r="B49" s="288" t="s">
        <v>532</v>
      </c>
      <c r="C49" s="288" t="s">
        <v>1210</v>
      </c>
      <c r="D49" s="288" t="s">
        <v>2394</v>
      </c>
      <c r="E49" s="320" t="s">
        <v>15199</v>
      </c>
      <c r="F49" s="338" t="s">
        <v>14479</v>
      </c>
      <c r="G49" s="291" t="s">
        <v>2401</v>
      </c>
      <c r="H49" s="288" t="s">
        <v>2402</v>
      </c>
      <c r="I49" s="288" t="s">
        <v>14763</v>
      </c>
      <c r="J49" s="288" t="s">
        <v>15557</v>
      </c>
      <c r="K49" s="282" t="s">
        <v>14824</v>
      </c>
      <c r="L49" s="294" t="s">
        <v>2403</v>
      </c>
      <c r="M49" s="288" t="s">
        <v>2404</v>
      </c>
    </row>
    <row r="50" spans="1:13" ht="138">
      <c r="A50" s="288" t="str">
        <f t="shared" si="4"/>
        <v>InstructionsA53</v>
      </c>
      <c r="B50" s="288" t="s">
        <v>532</v>
      </c>
      <c r="C50" s="288" t="s">
        <v>1211</v>
      </c>
      <c r="D50" s="288" t="s">
        <v>12636</v>
      </c>
      <c r="E50" s="321" t="s">
        <v>13532</v>
      </c>
      <c r="F50" s="333" t="s">
        <v>14480</v>
      </c>
      <c r="G50" s="344" t="s">
        <v>14647</v>
      </c>
      <c r="H50" s="296" t="s">
        <v>12648</v>
      </c>
      <c r="I50" s="296" t="s">
        <v>14764</v>
      </c>
      <c r="J50" s="336" t="s">
        <v>15558</v>
      </c>
      <c r="K50" s="297" t="s">
        <v>14825</v>
      </c>
      <c r="L50" s="298" t="s">
        <v>13666</v>
      </c>
      <c r="M50" s="296" t="s">
        <v>14952</v>
      </c>
    </row>
    <row r="51" spans="1:13" ht="82.8">
      <c r="A51" s="288" t="str">
        <f t="shared" si="4"/>
        <v>InstructionsA54</v>
      </c>
      <c r="B51" s="288" t="s">
        <v>532</v>
      </c>
      <c r="C51" s="288" t="s">
        <v>1212</v>
      </c>
      <c r="D51" s="288" t="s">
        <v>13122</v>
      </c>
      <c r="E51" s="320" t="s">
        <v>13533</v>
      </c>
      <c r="F51" s="338" t="s">
        <v>14481</v>
      </c>
      <c r="G51" s="291" t="s">
        <v>13123</v>
      </c>
      <c r="H51" s="288" t="s">
        <v>13124</v>
      </c>
      <c r="I51" s="288" t="s">
        <v>13125</v>
      </c>
      <c r="J51" s="288" t="s">
        <v>15559</v>
      </c>
      <c r="K51" s="282" t="s">
        <v>13126</v>
      </c>
      <c r="L51" s="294" t="s">
        <v>13127</v>
      </c>
      <c r="M51" s="288" t="s">
        <v>13128</v>
      </c>
    </row>
    <row r="52" spans="1:13" ht="82.8">
      <c r="A52" s="288" t="str">
        <f t="shared" si="4"/>
        <v>InstructionsA55</v>
      </c>
      <c r="B52" s="288" t="s">
        <v>532</v>
      </c>
      <c r="C52" s="288" t="s">
        <v>1213</v>
      </c>
      <c r="D52" s="288" t="s">
        <v>2395</v>
      </c>
      <c r="E52" s="288" t="s">
        <v>14366</v>
      </c>
      <c r="F52" s="338" t="s">
        <v>14482</v>
      </c>
      <c r="G52" s="291" t="s">
        <v>2405</v>
      </c>
      <c r="H52" s="288" t="s">
        <v>2406</v>
      </c>
      <c r="I52" s="288" t="s">
        <v>2407</v>
      </c>
      <c r="J52" s="288" t="s">
        <v>15560</v>
      </c>
      <c r="K52" s="282" t="s">
        <v>2408</v>
      </c>
      <c r="L52" s="294" t="s">
        <v>14885</v>
      </c>
      <c r="M52" s="288" t="s">
        <v>2409</v>
      </c>
    </row>
    <row r="53" spans="1:13" ht="110.4">
      <c r="A53" s="288" t="str">
        <f t="shared" si="4"/>
        <v>InstructionsA56</v>
      </c>
      <c r="B53" s="288" t="s">
        <v>532</v>
      </c>
      <c r="C53" s="288" t="s">
        <v>1214</v>
      </c>
      <c r="D53" s="288" t="s">
        <v>2396</v>
      </c>
      <c r="E53" s="288" t="s">
        <v>14367</v>
      </c>
      <c r="F53" s="338" t="s">
        <v>14483</v>
      </c>
      <c r="G53" s="291" t="s">
        <v>2410</v>
      </c>
      <c r="H53" s="288" t="s">
        <v>2411</v>
      </c>
      <c r="I53" s="288" t="s">
        <v>2412</v>
      </c>
      <c r="J53" s="288" t="s">
        <v>15561</v>
      </c>
      <c r="K53" s="282" t="s">
        <v>2413</v>
      </c>
      <c r="L53" s="294" t="s">
        <v>2414</v>
      </c>
      <c r="M53" s="288" t="s">
        <v>2415</v>
      </c>
    </row>
    <row r="54" spans="1:13" ht="69">
      <c r="A54" s="288" t="str">
        <f t="shared" si="4"/>
        <v>InstructionsA57</v>
      </c>
      <c r="B54" s="288" t="s">
        <v>532</v>
      </c>
      <c r="C54" s="288" t="s">
        <v>424</v>
      </c>
      <c r="D54" s="288" t="s">
        <v>2397</v>
      </c>
      <c r="E54" s="288" t="s">
        <v>14368</v>
      </c>
      <c r="F54" s="338" t="s">
        <v>14484</v>
      </c>
      <c r="G54" s="291" t="s">
        <v>2416</v>
      </c>
      <c r="H54" s="288" t="s">
        <v>2417</v>
      </c>
      <c r="I54" s="288" t="s">
        <v>2418</v>
      </c>
      <c r="J54" s="288" t="s">
        <v>15562</v>
      </c>
      <c r="K54" s="282" t="s">
        <v>2419</v>
      </c>
      <c r="L54" s="294" t="s">
        <v>2420</v>
      </c>
      <c r="M54" s="288" t="s">
        <v>2421</v>
      </c>
    </row>
    <row r="55" spans="1:13" ht="43.2">
      <c r="A55" s="288" t="str">
        <f t="shared" si="4"/>
        <v>InstructionsA58</v>
      </c>
      <c r="B55" s="288" t="s">
        <v>532</v>
      </c>
      <c r="C55" s="288" t="s">
        <v>1215</v>
      </c>
      <c r="D55" s="290" t="s">
        <v>2398</v>
      </c>
      <c r="E55" s="290" t="s">
        <v>14369</v>
      </c>
      <c r="F55" s="339" t="s">
        <v>14485</v>
      </c>
      <c r="G55" s="342" t="s">
        <v>2422</v>
      </c>
      <c r="H55" s="290" t="s">
        <v>2423</v>
      </c>
      <c r="I55" s="290" t="s">
        <v>2424</v>
      </c>
      <c r="J55" s="290" t="s">
        <v>15563</v>
      </c>
      <c r="K55" s="284" t="s">
        <v>2425</v>
      </c>
      <c r="L55" s="295" t="s">
        <v>2426</v>
      </c>
      <c r="M55" s="290" t="s">
        <v>2427</v>
      </c>
    </row>
    <row r="56" spans="1:13" ht="43.2">
      <c r="A56" s="288" t="str">
        <f t="shared" si="4"/>
        <v>InstructionsA59</v>
      </c>
      <c r="B56" s="288" t="s">
        <v>532</v>
      </c>
      <c r="C56" s="288" t="s">
        <v>1216</v>
      </c>
      <c r="D56" s="290" t="s">
        <v>2399</v>
      </c>
      <c r="E56" s="290" t="s">
        <v>14370</v>
      </c>
      <c r="F56" s="339" t="s">
        <v>14486</v>
      </c>
      <c r="G56" s="342" t="s">
        <v>2428</v>
      </c>
      <c r="H56" s="290" t="s">
        <v>2429</v>
      </c>
      <c r="I56" s="290" t="s">
        <v>2430</v>
      </c>
      <c r="J56" s="290" t="s">
        <v>15564</v>
      </c>
      <c r="K56" s="284" t="s">
        <v>2431</v>
      </c>
      <c r="L56" s="295" t="s">
        <v>2432</v>
      </c>
      <c r="M56" s="290" t="s">
        <v>2433</v>
      </c>
    </row>
    <row r="57" spans="1:13" ht="50.4">
      <c r="A57" s="288" t="str">
        <f t="shared" si="4"/>
        <v>InstructionsA60</v>
      </c>
      <c r="B57" s="288" t="s">
        <v>532</v>
      </c>
      <c r="C57" s="288" t="s">
        <v>1217</v>
      </c>
      <c r="D57" s="290" t="s">
        <v>14251</v>
      </c>
      <c r="E57" s="290" t="s">
        <v>14371</v>
      </c>
      <c r="F57" s="339" t="s">
        <v>14487</v>
      </c>
      <c r="G57" s="342" t="s">
        <v>2434</v>
      </c>
      <c r="H57" s="290" t="s">
        <v>2435</v>
      </c>
      <c r="I57" s="290" t="s">
        <v>2436</v>
      </c>
      <c r="J57" s="290" t="s">
        <v>15565</v>
      </c>
      <c r="K57" s="284" t="s">
        <v>2437</v>
      </c>
      <c r="L57" s="295" t="s">
        <v>2438</v>
      </c>
      <c r="M57" s="290" t="s">
        <v>2439</v>
      </c>
    </row>
    <row r="58" spans="1:13" ht="331.2">
      <c r="A58" s="288" t="str">
        <f t="shared" si="4"/>
        <v>InstructionsA61</v>
      </c>
      <c r="B58" s="288" t="s">
        <v>532</v>
      </c>
      <c r="C58" s="288" t="s">
        <v>1218</v>
      </c>
      <c r="D58" s="288" t="s">
        <v>13370</v>
      </c>
      <c r="E58" s="288" t="s">
        <v>14372</v>
      </c>
      <c r="F58" s="338" t="s">
        <v>15288</v>
      </c>
      <c r="G58" s="348" t="s">
        <v>15474</v>
      </c>
      <c r="H58" s="288" t="s">
        <v>14709</v>
      </c>
      <c r="I58" s="288" t="s">
        <v>14765</v>
      </c>
      <c r="J58" s="288" t="s">
        <v>15566</v>
      </c>
      <c r="K58" s="282" t="s">
        <v>14826</v>
      </c>
      <c r="L58" s="294" t="s">
        <v>14886</v>
      </c>
      <c r="M58" s="288" t="s">
        <v>14953</v>
      </c>
    </row>
    <row r="59" spans="1:13" ht="82.8">
      <c r="A59" s="288" t="str">
        <f t="shared" si="4"/>
        <v>InstructionsA62</v>
      </c>
      <c r="B59" s="288" t="s">
        <v>532</v>
      </c>
      <c r="C59" s="288" t="s">
        <v>1219</v>
      </c>
      <c r="D59" s="288" t="s">
        <v>2400</v>
      </c>
      <c r="E59" s="288" t="s">
        <v>14373</v>
      </c>
      <c r="F59" s="338" t="s">
        <v>14488</v>
      </c>
      <c r="G59" s="291" t="s">
        <v>2440</v>
      </c>
      <c r="H59" s="288" t="s">
        <v>2441</v>
      </c>
      <c r="I59" s="288" t="s">
        <v>2442</v>
      </c>
      <c r="J59" s="288" t="s">
        <v>15567</v>
      </c>
      <c r="K59" s="282" t="s">
        <v>2443</v>
      </c>
      <c r="L59" s="294" t="s">
        <v>2444</v>
      </c>
      <c r="M59" s="288" t="s">
        <v>2445</v>
      </c>
    </row>
    <row r="60" spans="1:13" ht="165.6">
      <c r="A60" s="288" t="str">
        <f t="shared" si="4"/>
        <v>InstructionsA63</v>
      </c>
      <c r="B60" s="288" t="s">
        <v>532</v>
      </c>
      <c r="C60" s="288" t="s">
        <v>1220</v>
      </c>
      <c r="D60" s="288" t="s">
        <v>13373</v>
      </c>
      <c r="E60" s="288" t="s">
        <v>14374</v>
      </c>
      <c r="F60" s="338" t="s">
        <v>14489</v>
      </c>
      <c r="G60" s="291" t="s">
        <v>14648</v>
      </c>
      <c r="H60" s="288" t="s">
        <v>14710</v>
      </c>
      <c r="I60" s="288" t="s">
        <v>15246</v>
      </c>
      <c r="J60" s="288" t="s">
        <v>15568</v>
      </c>
      <c r="K60" s="282" t="s">
        <v>14827</v>
      </c>
      <c r="L60" s="294" t="s">
        <v>14887</v>
      </c>
      <c r="M60" s="288" t="s">
        <v>14954</v>
      </c>
    </row>
    <row r="61" spans="1:13" ht="193.2">
      <c r="A61" s="288" t="str">
        <f t="shared" si="4"/>
        <v>InstructionsA64</v>
      </c>
      <c r="B61" s="288" t="s">
        <v>532</v>
      </c>
      <c r="C61" s="288" t="s">
        <v>1221</v>
      </c>
      <c r="D61" s="288" t="s">
        <v>13374</v>
      </c>
      <c r="E61" s="288" t="s">
        <v>14375</v>
      </c>
      <c r="F61" s="338" t="s">
        <v>14490</v>
      </c>
      <c r="G61" s="291" t="s">
        <v>14649</v>
      </c>
      <c r="H61" s="288" t="s">
        <v>14711</v>
      </c>
      <c r="I61" s="288" t="s">
        <v>15247</v>
      </c>
      <c r="J61" s="288" t="s">
        <v>15569</v>
      </c>
      <c r="K61" s="282" t="s">
        <v>14828</v>
      </c>
      <c r="L61" s="294" t="s">
        <v>14888</v>
      </c>
      <c r="M61" s="288" t="s">
        <v>14955</v>
      </c>
    </row>
    <row r="62" spans="1:13" ht="115.2">
      <c r="A62" s="288" t="str">
        <f t="shared" si="4"/>
        <v>InstructionsA65</v>
      </c>
      <c r="B62" s="288" t="s">
        <v>532</v>
      </c>
      <c r="C62" s="288" t="s">
        <v>638</v>
      </c>
      <c r="D62" s="288" t="s">
        <v>12618</v>
      </c>
      <c r="E62" s="288" t="s">
        <v>14376</v>
      </c>
      <c r="F62" s="333" t="s">
        <v>14491</v>
      </c>
      <c r="G62" s="344" t="s">
        <v>14650</v>
      </c>
      <c r="H62" s="296" t="s">
        <v>14712</v>
      </c>
      <c r="I62" s="296" t="s">
        <v>14766</v>
      </c>
      <c r="J62" s="336" t="s">
        <v>15570</v>
      </c>
      <c r="K62" s="297" t="s">
        <v>14829</v>
      </c>
      <c r="L62" s="298" t="s">
        <v>14889</v>
      </c>
      <c r="M62" s="296" t="s">
        <v>14956</v>
      </c>
    </row>
    <row r="63" spans="1:13" ht="41.4">
      <c r="A63" s="288" t="str">
        <f t="shared" si="4"/>
        <v>InstructionsA66</v>
      </c>
      <c r="B63" s="288" t="s">
        <v>532</v>
      </c>
      <c r="C63" s="288" t="s">
        <v>639</v>
      </c>
      <c r="D63" s="288" t="s">
        <v>640</v>
      </c>
      <c r="E63" s="288" t="s">
        <v>15198</v>
      </c>
      <c r="F63" s="338" t="s">
        <v>14492</v>
      </c>
      <c r="G63" s="291" t="s">
        <v>642</v>
      </c>
      <c r="H63" s="288" t="s">
        <v>339</v>
      </c>
      <c r="I63" s="288" t="s">
        <v>76</v>
      </c>
      <c r="J63" s="288" t="s">
        <v>643</v>
      </c>
      <c r="K63" s="282" t="s">
        <v>191</v>
      </c>
      <c r="L63" s="294" t="s">
        <v>644</v>
      </c>
      <c r="M63" s="288" t="s">
        <v>14957</v>
      </c>
    </row>
    <row r="64" spans="1:13" ht="193.2">
      <c r="A64" s="288" t="str">
        <f t="shared" si="4"/>
        <v>InstructionsA67</v>
      </c>
      <c r="B64" s="288" t="s">
        <v>532</v>
      </c>
      <c r="C64" s="288" t="s">
        <v>641</v>
      </c>
      <c r="D64" s="288" t="s">
        <v>648</v>
      </c>
      <c r="E64" s="288" t="s">
        <v>14377</v>
      </c>
      <c r="F64" s="338" t="s">
        <v>14493</v>
      </c>
      <c r="G64" s="291" t="s">
        <v>14651</v>
      </c>
      <c r="H64" s="172" t="s">
        <v>14713</v>
      </c>
      <c r="I64" s="288" t="s">
        <v>14767</v>
      </c>
      <c r="J64" s="288" t="s">
        <v>1363</v>
      </c>
      <c r="K64" s="282" t="s">
        <v>14830</v>
      </c>
      <c r="L64" s="294" t="s">
        <v>14890</v>
      </c>
      <c r="M64" s="288" t="s">
        <v>14958</v>
      </c>
    </row>
    <row r="65" spans="1:15" ht="27.6">
      <c r="A65" s="288" t="str">
        <f t="shared" si="4"/>
        <v>InstructionsA68</v>
      </c>
      <c r="B65" s="288" t="s">
        <v>532</v>
      </c>
      <c r="C65" s="288" t="s">
        <v>2516</v>
      </c>
      <c r="D65" s="288" t="s">
        <v>916</v>
      </c>
      <c r="E65" s="283" t="s">
        <v>13534</v>
      </c>
      <c r="F65" s="338" t="s">
        <v>14494</v>
      </c>
      <c r="G65" s="291" t="s">
        <v>1026</v>
      </c>
      <c r="H65" s="172" t="s">
        <v>340</v>
      </c>
      <c r="I65" s="288" t="s">
        <v>1172</v>
      </c>
      <c r="J65" s="288" t="s">
        <v>1173</v>
      </c>
      <c r="K65" s="282" t="s">
        <v>15313</v>
      </c>
      <c r="L65" s="294" t="s">
        <v>1256</v>
      </c>
      <c r="M65" s="288" t="s">
        <v>14959</v>
      </c>
    </row>
    <row r="66" spans="1:15" ht="303.60000000000002">
      <c r="A66" s="288" t="str">
        <f t="shared" si="4"/>
        <v>InstructionsA69</v>
      </c>
      <c r="B66" s="288" t="s">
        <v>532</v>
      </c>
      <c r="C66" s="288" t="s">
        <v>645</v>
      </c>
      <c r="D66" s="288" t="s">
        <v>13378</v>
      </c>
      <c r="E66" s="320" t="s">
        <v>13535</v>
      </c>
      <c r="F66" s="338" t="s">
        <v>14495</v>
      </c>
      <c r="G66" s="349" t="s">
        <v>13715</v>
      </c>
      <c r="H66" s="172" t="s">
        <v>13659</v>
      </c>
      <c r="I66" s="288" t="s">
        <v>14768</v>
      </c>
      <c r="J66" s="288" t="s">
        <v>13687</v>
      </c>
      <c r="K66" s="282" t="s">
        <v>13504</v>
      </c>
      <c r="L66" s="294" t="s">
        <v>13667</v>
      </c>
      <c r="M66" s="288" t="s">
        <v>13651</v>
      </c>
    </row>
    <row r="67" spans="1:15" ht="151.80000000000001">
      <c r="A67" s="288" t="str">
        <f t="shared" si="4"/>
        <v>InstructionsA70</v>
      </c>
      <c r="B67" s="288" t="s">
        <v>532</v>
      </c>
      <c r="C67" s="288" t="s">
        <v>2517</v>
      </c>
      <c r="D67" s="288" t="s">
        <v>13375</v>
      </c>
      <c r="E67" s="320" t="s">
        <v>14378</v>
      </c>
      <c r="F67" s="338" t="s">
        <v>14496</v>
      </c>
      <c r="G67" s="291" t="s">
        <v>14652</v>
      </c>
      <c r="H67" s="172" t="s">
        <v>13660</v>
      </c>
      <c r="I67" s="288" t="s">
        <v>13701</v>
      </c>
      <c r="J67" s="288" t="s">
        <v>13688</v>
      </c>
      <c r="K67" s="282" t="s">
        <v>13505</v>
      </c>
      <c r="L67" s="294" t="s">
        <v>13668</v>
      </c>
      <c r="M67" s="288" t="s">
        <v>13652</v>
      </c>
    </row>
    <row r="68" spans="1:15" ht="138">
      <c r="A68" s="288" t="str">
        <f t="shared" si="4"/>
        <v>InstructionsA71</v>
      </c>
      <c r="B68" s="288" t="s">
        <v>532</v>
      </c>
      <c r="C68" s="288" t="s">
        <v>646</v>
      </c>
      <c r="D68" s="288" t="s">
        <v>13376</v>
      </c>
      <c r="E68" s="320" t="s">
        <v>14379</v>
      </c>
      <c r="F68" s="338" t="s">
        <v>14497</v>
      </c>
      <c r="G68" s="349" t="s">
        <v>13716</v>
      </c>
      <c r="H68" s="172" t="s">
        <v>13661</v>
      </c>
      <c r="I68" s="288" t="s">
        <v>13702</v>
      </c>
      <c r="J68" s="288" t="s">
        <v>13689</v>
      </c>
      <c r="K68" s="282" t="s">
        <v>13506</v>
      </c>
      <c r="L68" s="294" t="s">
        <v>13669</v>
      </c>
      <c r="M68" s="288" t="s">
        <v>13653</v>
      </c>
    </row>
    <row r="69" spans="1:15" ht="289.8">
      <c r="A69" s="288" t="str">
        <f t="shared" si="4"/>
        <v>InstructionsA72</v>
      </c>
      <c r="B69" s="288" t="s">
        <v>532</v>
      </c>
      <c r="C69" s="288" t="s">
        <v>647</v>
      </c>
      <c r="D69" s="288" t="s">
        <v>13377</v>
      </c>
      <c r="E69" s="320" t="s">
        <v>14380</v>
      </c>
      <c r="F69" s="338" t="s">
        <v>14498</v>
      </c>
      <c r="G69" s="291" t="s">
        <v>14653</v>
      </c>
      <c r="H69" s="172" t="s">
        <v>13662</v>
      </c>
      <c r="I69" s="288" t="s">
        <v>13703</v>
      </c>
      <c r="J69" s="288" t="s">
        <v>13690</v>
      </c>
      <c r="K69" s="282" t="s">
        <v>13507</v>
      </c>
      <c r="L69" s="294" t="s">
        <v>13670</v>
      </c>
      <c r="M69" s="288" t="s">
        <v>13654</v>
      </c>
    </row>
    <row r="70" spans="1:15" ht="96.6">
      <c r="A70" s="288" t="str">
        <f t="shared" si="4"/>
        <v>InstructionsA73</v>
      </c>
      <c r="B70" s="288" t="s">
        <v>532</v>
      </c>
      <c r="C70" s="288" t="s">
        <v>2578</v>
      </c>
      <c r="D70" s="288" t="s">
        <v>936</v>
      </c>
      <c r="E70" s="320" t="s">
        <v>13536</v>
      </c>
      <c r="F70" s="338" t="s">
        <v>14499</v>
      </c>
      <c r="G70" s="291" t="s">
        <v>826</v>
      </c>
      <c r="H70" s="172" t="s">
        <v>136</v>
      </c>
      <c r="I70" s="288" t="s">
        <v>77</v>
      </c>
      <c r="J70" s="288" t="s">
        <v>1364</v>
      </c>
      <c r="K70" s="282" t="s">
        <v>1123</v>
      </c>
      <c r="L70" s="294" t="s">
        <v>1257</v>
      </c>
      <c r="M70" s="288" t="s">
        <v>14960</v>
      </c>
    </row>
    <row r="71" spans="1:15" ht="41.4">
      <c r="A71" s="288" t="str">
        <f t="shared" si="4"/>
        <v>InstructionsA74</v>
      </c>
      <c r="B71" s="288" t="s">
        <v>532</v>
      </c>
      <c r="C71" s="288" t="s">
        <v>14221</v>
      </c>
      <c r="D71" s="288" t="s">
        <v>937</v>
      </c>
      <c r="E71" s="254" t="s">
        <v>13537</v>
      </c>
      <c r="F71" s="338"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8" t="s">
        <v>14501</v>
      </c>
      <c r="G72" s="291" t="s">
        <v>868</v>
      </c>
      <c r="H72" s="172" t="s">
        <v>1047</v>
      </c>
      <c r="I72" s="288" t="s">
        <v>79</v>
      </c>
      <c r="J72" s="288" t="s">
        <v>1048</v>
      </c>
      <c r="K72" s="282" t="s">
        <v>1125</v>
      </c>
      <c r="L72" s="294" t="s">
        <v>593</v>
      </c>
      <c r="M72" s="288" t="s">
        <v>14962</v>
      </c>
    </row>
    <row r="73" spans="1:15">
      <c r="A73" s="288" t="str">
        <f t="shared" si="4"/>
        <v>DefinitionsB3</v>
      </c>
      <c r="B73" s="288" t="s">
        <v>948</v>
      </c>
      <c r="C73" s="288" t="s">
        <v>949</v>
      </c>
      <c r="D73" s="288" t="s">
        <v>1000</v>
      </c>
      <c r="E73" s="254" t="s">
        <v>13538</v>
      </c>
      <c r="F73" s="338"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8" t="s">
        <v>14502</v>
      </c>
      <c r="G74" s="291" t="s">
        <v>15475</v>
      </c>
      <c r="H74" s="172" t="s">
        <v>129</v>
      </c>
      <c r="I74" s="288" t="s">
        <v>80</v>
      </c>
      <c r="J74" s="288" t="s">
        <v>1341</v>
      </c>
      <c r="K74" s="282" t="s">
        <v>192</v>
      </c>
      <c r="L74" s="294" t="s">
        <v>158</v>
      </c>
      <c r="M74" s="288" t="s">
        <v>14963</v>
      </c>
    </row>
    <row r="75" spans="1:15" ht="69">
      <c r="A75" s="288" t="str">
        <f t="shared" ref="A75" si="5">B75&amp;C75</f>
        <v>DefinitionsB5</v>
      </c>
      <c r="B75" s="288" t="s">
        <v>948</v>
      </c>
      <c r="C75" s="288" t="s">
        <v>951</v>
      </c>
      <c r="D75" s="288" t="s">
        <v>14249</v>
      </c>
      <c r="E75" s="288" t="s">
        <v>14381</v>
      </c>
      <c r="F75" s="338" t="s">
        <v>14503</v>
      </c>
      <c r="G75" s="291" t="s">
        <v>15476</v>
      </c>
      <c r="H75" s="288" t="s">
        <v>14714</v>
      </c>
      <c r="I75" s="288" t="s">
        <v>14769</v>
      </c>
      <c r="J75" s="288" t="s">
        <v>15118</v>
      </c>
      <c r="K75" s="288" t="s">
        <v>14831</v>
      </c>
      <c r="L75" s="288" t="s">
        <v>14891</v>
      </c>
      <c r="M75" s="288" t="s">
        <v>14964</v>
      </c>
      <c r="N75" s="288" t="s">
        <v>14249</v>
      </c>
      <c r="O75" s="288" t="s">
        <v>14249</v>
      </c>
    </row>
    <row r="76" spans="1:15" ht="27.6">
      <c r="A76" s="288" t="str">
        <f>B76&amp;C76</f>
        <v>DefinitionsB6</v>
      </c>
      <c r="B76" s="288" t="s">
        <v>948</v>
      </c>
      <c r="C76" s="288" t="s">
        <v>952</v>
      </c>
      <c r="D76" s="288" t="s">
        <v>858</v>
      </c>
      <c r="E76" s="283" t="s">
        <v>565</v>
      </c>
      <c r="F76" s="338"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8"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8" t="s">
        <v>14506</v>
      </c>
      <c r="G78" s="291" t="s">
        <v>1050</v>
      </c>
      <c r="H78" s="172" t="s">
        <v>1051</v>
      </c>
      <c r="I78" s="288" t="s">
        <v>83</v>
      </c>
      <c r="J78" s="288" t="s">
        <v>100</v>
      </c>
      <c r="K78" s="282" t="s">
        <v>194</v>
      </c>
      <c r="L78" s="294" t="s">
        <v>596</v>
      </c>
      <c r="M78" s="288" t="s">
        <v>13432</v>
      </c>
      <c r="N78" s="185" t="s">
        <v>13408</v>
      </c>
    </row>
    <row r="79" spans="1:15" ht="41.4">
      <c r="A79" s="288" t="str">
        <f>B79&amp;C79</f>
        <v>DefinitionsB9</v>
      </c>
      <c r="B79" s="288" t="s">
        <v>948</v>
      </c>
      <c r="C79" s="288" t="s">
        <v>955</v>
      </c>
      <c r="D79" s="288" t="s">
        <v>867</v>
      </c>
      <c r="E79" s="254" t="s">
        <v>13433</v>
      </c>
      <c r="F79" s="338"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8" t="s">
        <v>14508</v>
      </c>
      <c r="G80" s="291" t="s">
        <v>1052</v>
      </c>
      <c r="H80" s="288" t="s">
        <v>1053</v>
      </c>
      <c r="I80" s="288" t="s">
        <v>1053</v>
      </c>
      <c r="J80" s="288" t="s">
        <v>1343</v>
      </c>
      <c r="K80" s="282" t="s">
        <v>859</v>
      </c>
      <c r="L80" s="294" t="s">
        <v>1053</v>
      </c>
      <c r="M80" s="288" t="s">
        <v>13434</v>
      </c>
      <c r="N80" s="185" t="s">
        <v>13410</v>
      </c>
    </row>
    <row r="81" spans="1:14" ht="27.6">
      <c r="A81" s="288" t="str">
        <f t="shared" ref="A81" si="6">B81&amp;C81</f>
        <v>DefinitionsB11</v>
      </c>
      <c r="B81" s="288" t="s">
        <v>948</v>
      </c>
      <c r="C81" s="288" t="s">
        <v>957</v>
      </c>
      <c r="D81" s="288" t="s">
        <v>13427</v>
      </c>
      <c r="E81" s="254" t="s">
        <v>13435</v>
      </c>
      <c r="F81" s="338"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8" t="s">
        <v>14510</v>
      </c>
      <c r="G82" s="291" t="s">
        <v>358</v>
      </c>
      <c r="H82" s="288" t="s">
        <v>1056</v>
      </c>
      <c r="I82" s="288" t="s">
        <v>84</v>
      </c>
      <c r="J82" s="288" t="s">
        <v>101</v>
      </c>
      <c r="K82" s="282" t="s">
        <v>196</v>
      </c>
      <c r="L82" s="294" t="s">
        <v>598</v>
      </c>
      <c r="M82" s="288" t="s">
        <v>13437</v>
      </c>
      <c r="N82" s="185" t="s">
        <v>13472</v>
      </c>
    </row>
    <row r="83" spans="1:14">
      <c r="A83" s="288" t="str">
        <f t="shared" si="7"/>
        <v>DefinitionsB13</v>
      </c>
      <c r="B83" s="288" t="s">
        <v>948</v>
      </c>
      <c r="C83" s="288" t="s">
        <v>959</v>
      </c>
      <c r="D83" s="288" t="s">
        <v>13428</v>
      </c>
      <c r="E83" s="254" t="s">
        <v>13438</v>
      </c>
      <c r="F83" s="338"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8"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8" t="s">
        <v>1012</v>
      </c>
      <c r="G85" s="291" t="s">
        <v>1012</v>
      </c>
      <c r="H85" s="288" t="s">
        <v>1012</v>
      </c>
      <c r="I85" s="288" t="s">
        <v>1012</v>
      </c>
      <c r="J85" s="288" t="s">
        <v>1012</v>
      </c>
      <c r="K85" s="282" t="s">
        <v>1012</v>
      </c>
      <c r="L85" s="294" t="s">
        <v>1012</v>
      </c>
      <c r="M85" s="288" t="s">
        <v>1012</v>
      </c>
      <c r="N85" s="185" t="s">
        <v>13413</v>
      </c>
    </row>
    <row r="86" spans="1:14" ht="27.6">
      <c r="A86" s="288" t="str">
        <f t="shared" si="7"/>
        <v>DefinitionsB16</v>
      </c>
      <c r="B86" s="288" t="s">
        <v>948</v>
      </c>
      <c r="C86" s="288" t="s">
        <v>962</v>
      </c>
      <c r="D86" s="288" t="s">
        <v>14270</v>
      </c>
      <c r="E86" s="254" t="s">
        <v>13542</v>
      </c>
      <c r="F86" s="338"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8"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8" t="s">
        <v>14513</v>
      </c>
      <c r="G88" s="291" t="s">
        <v>13447</v>
      </c>
      <c r="H88" s="288" t="s">
        <v>346</v>
      </c>
      <c r="I88" s="288" t="s">
        <v>89</v>
      </c>
      <c r="J88" s="288" t="s">
        <v>105</v>
      </c>
      <c r="K88" s="282" t="s">
        <v>201</v>
      </c>
      <c r="L88" s="294" t="s">
        <v>163</v>
      </c>
      <c r="M88" s="288" t="s">
        <v>13448</v>
      </c>
      <c r="N88" s="185" t="s">
        <v>13416</v>
      </c>
    </row>
    <row r="89" spans="1:14" ht="27.6">
      <c r="A89" s="288" t="str">
        <f t="shared" si="7"/>
        <v>DefinitionsB19</v>
      </c>
      <c r="B89" s="288" t="s">
        <v>948</v>
      </c>
      <c r="C89" s="288" t="s">
        <v>965</v>
      </c>
      <c r="D89" s="288" t="s">
        <v>857</v>
      </c>
      <c r="E89" s="254" t="s">
        <v>13543</v>
      </c>
      <c r="F89" s="338"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8"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8" t="s">
        <v>13385</v>
      </c>
      <c r="G91" s="291" t="s">
        <v>13385</v>
      </c>
      <c r="H91" s="288" t="s">
        <v>13385</v>
      </c>
      <c r="I91" s="288" t="s">
        <v>13385</v>
      </c>
      <c r="J91" s="288" t="s">
        <v>13385</v>
      </c>
      <c r="K91" s="282" t="s">
        <v>13385</v>
      </c>
      <c r="L91" s="294" t="s">
        <v>13385</v>
      </c>
      <c r="M91" s="288" t="s">
        <v>13385</v>
      </c>
      <c r="N91" s="185" t="s">
        <v>13384</v>
      </c>
    </row>
    <row r="92" spans="1:14" ht="27.6">
      <c r="A92" s="288" t="str">
        <f t="shared" si="7"/>
        <v>DefinitionsB22</v>
      </c>
      <c r="B92" s="288" t="s">
        <v>948</v>
      </c>
      <c r="C92" s="288" t="s">
        <v>968</v>
      </c>
      <c r="D92" s="288" t="s">
        <v>571</v>
      </c>
      <c r="E92" s="254" t="s">
        <v>13450</v>
      </c>
      <c r="F92" s="338" t="s">
        <v>14516</v>
      </c>
      <c r="G92" s="291" t="s">
        <v>15477</v>
      </c>
      <c r="H92" s="288" t="s">
        <v>347</v>
      </c>
      <c r="I92" s="288" t="s">
        <v>90</v>
      </c>
      <c r="J92" s="288" t="s">
        <v>1345</v>
      </c>
      <c r="K92" s="282" t="s">
        <v>202</v>
      </c>
      <c r="L92" s="294" t="s">
        <v>600</v>
      </c>
      <c r="M92" s="288" t="s">
        <v>13451</v>
      </c>
      <c r="N92" s="185" t="s">
        <v>13423</v>
      </c>
    </row>
    <row r="93" spans="1:14" ht="27.6">
      <c r="A93" s="288" t="str">
        <f t="shared" si="7"/>
        <v>DefinitionsB23</v>
      </c>
      <c r="B93" s="288" t="s">
        <v>948</v>
      </c>
      <c r="C93" s="288" t="s">
        <v>969</v>
      </c>
      <c r="D93" s="288" t="s">
        <v>13380</v>
      </c>
      <c r="E93" s="254" t="s">
        <v>13545</v>
      </c>
      <c r="F93" s="338" t="s">
        <v>14517</v>
      </c>
      <c r="G93" s="291" t="s">
        <v>14654</v>
      </c>
      <c r="H93" s="288" t="s">
        <v>13461</v>
      </c>
      <c r="I93" s="288" t="s">
        <v>13462</v>
      </c>
      <c r="J93" s="288" t="s">
        <v>13380</v>
      </c>
      <c r="K93" s="282" t="s">
        <v>13508</v>
      </c>
      <c r="L93" s="300" t="s">
        <v>13380</v>
      </c>
      <c r="M93" s="288" t="s">
        <v>13655</v>
      </c>
      <c r="N93" s="185" t="s">
        <v>13494</v>
      </c>
    </row>
    <row r="94" spans="1:14" ht="27.6">
      <c r="A94" s="288" t="str">
        <f t="shared" si="7"/>
        <v>DefinitionsB24</v>
      </c>
      <c r="B94" s="288" t="s">
        <v>948</v>
      </c>
      <c r="C94" s="288" t="s">
        <v>996</v>
      </c>
      <c r="D94" s="288" t="s">
        <v>13381</v>
      </c>
      <c r="E94" s="254" t="s">
        <v>13546</v>
      </c>
      <c r="F94" s="338" t="s">
        <v>14518</v>
      </c>
      <c r="G94" s="291" t="s">
        <v>14655</v>
      </c>
      <c r="H94" s="288" t="s">
        <v>341</v>
      </c>
      <c r="I94" s="288" t="s">
        <v>13381</v>
      </c>
      <c r="J94" s="288" t="s">
        <v>13381</v>
      </c>
      <c r="K94" s="282" t="s">
        <v>13509</v>
      </c>
      <c r="L94" s="294" t="s">
        <v>13671</v>
      </c>
      <c r="M94" s="288" t="s">
        <v>13656</v>
      </c>
      <c r="N94" s="185" t="s">
        <v>13478</v>
      </c>
    </row>
    <row r="95" spans="1:14" ht="101.55" customHeight="1">
      <c r="A95" s="288" t="str">
        <f t="shared" si="7"/>
        <v>DefinitionsB25</v>
      </c>
      <c r="B95" s="288" t="s">
        <v>948</v>
      </c>
      <c r="C95" s="288" t="s">
        <v>476</v>
      </c>
      <c r="D95" s="288" t="s">
        <v>13379</v>
      </c>
      <c r="E95" s="254" t="s">
        <v>13547</v>
      </c>
      <c r="F95" s="338"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8" t="s">
        <v>14520</v>
      </c>
      <c r="G96" s="291" t="s">
        <v>1063</v>
      </c>
      <c r="H96" s="288" t="s">
        <v>856</v>
      </c>
      <c r="I96" s="288" t="s">
        <v>856</v>
      </c>
      <c r="J96" s="288" t="s">
        <v>856</v>
      </c>
      <c r="K96" s="282" t="s">
        <v>856</v>
      </c>
      <c r="L96" s="294" t="s">
        <v>856</v>
      </c>
      <c r="M96" s="288" t="s">
        <v>856</v>
      </c>
      <c r="N96" s="185" t="s">
        <v>13426</v>
      </c>
    </row>
    <row r="97" spans="1:14" ht="27.6">
      <c r="A97" s="288" t="str">
        <f t="shared" si="7"/>
        <v>DefinitionsB27</v>
      </c>
      <c r="B97" s="288" t="s">
        <v>948</v>
      </c>
      <c r="C97" s="288" t="s">
        <v>575</v>
      </c>
      <c r="D97" s="288" t="s">
        <v>1089</v>
      </c>
      <c r="E97" s="254" t="s">
        <v>1064</v>
      </c>
      <c r="F97" s="338"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8" t="s">
        <v>14522</v>
      </c>
      <c r="G98" s="291" t="s">
        <v>361</v>
      </c>
      <c r="H98" s="288" t="s">
        <v>348</v>
      </c>
      <c r="I98" s="288" t="s">
        <v>91</v>
      </c>
      <c r="J98" s="288" t="s">
        <v>106</v>
      </c>
      <c r="K98" s="282" t="s">
        <v>203</v>
      </c>
      <c r="L98" s="294" t="s">
        <v>164</v>
      </c>
      <c r="M98" s="288" t="s">
        <v>13454</v>
      </c>
      <c r="N98" s="185" t="s">
        <v>13479</v>
      </c>
    </row>
    <row r="99" spans="1:14" ht="27.6">
      <c r="A99" s="288" t="str">
        <f t="shared" si="7"/>
        <v>DefinitionsB29</v>
      </c>
      <c r="B99" s="288" t="s">
        <v>948</v>
      </c>
      <c r="C99" s="288" t="s">
        <v>581</v>
      </c>
      <c r="D99" s="288" t="s">
        <v>584</v>
      </c>
      <c r="E99" s="254" t="s">
        <v>13549</v>
      </c>
      <c r="F99" s="338" t="s">
        <v>14523</v>
      </c>
      <c r="G99" s="291" t="s">
        <v>362</v>
      </c>
      <c r="H99" s="288" t="s">
        <v>1069</v>
      </c>
      <c r="I99" s="288" t="s">
        <v>92</v>
      </c>
      <c r="J99" s="288" t="s">
        <v>107</v>
      </c>
      <c r="K99" s="282" t="s">
        <v>204</v>
      </c>
      <c r="L99" s="294" t="s">
        <v>602</v>
      </c>
      <c r="M99" s="288" t="s">
        <v>13455</v>
      </c>
      <c r="N99" s="185" t="s">
        <v>13480</v>
      </c>
    </row>
    <row r="100" spans="1:14" ht="27.6">
      <c r="A100" s="288" t="str">
        <f t="shared" si="7"/>
        <v>DefinitionsB30</v>
      </c>
      <c r="B100" s="288" t="s">
        <v>948</v>
      </c>
      <c r="C100" s="288" t="s">
        <v>585</v>
      </c>
      <c r="D100" s="288" t="s">
        <v>587</v>
      </c>
      <c r="E100" s="254" t="s">
        <v>13550</v>
      </c>
      <c r="F100" s="338" t="s">
        <v>14524</v>
      </c>
      <c r="G100" s="291" t="s">
        <v>363</v>
      </c>
      <c r="H100" s="288" t="s">
        <v>1070</v>
      </c>
      <c r="I100" s="288" t="s">
        <v>93</v>
      </c>
      <c r="J100" s="288" t="s">
        <v>108</v>
      </c>
      <c r="K100" s="282" t="s">
        <v>205</v>
      </c>
      <c r="L100" s="294" t="s">
        <v>603</v>
      </c>
      <c r="M100" s="288" t="s">
        <v>13456</v>
      </c>
      <c r="N100" s="185" t="s">
        <v>13481</v>
      </c>
    </row>
    <row r="101" spans="1:14" ht="27.6">
      <c r="A101" s="288" t="str">
        <f t="shared" si="7"/>
        <v>DefinitionsB31</v>
      </c>
      <c r="B101" s="288" t="s">
        <v>948</v>
      </c>
      <c r="C101" s="288" t="s">
        <v>477</v>
      </c>
      <c r="D101" s="288" t="s">
        <v>588</v>
      </c>
      <c r="E101" s="254" t="s">
        <v>13551</v>
      </c>
      <c r="F101" s="338"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8"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8" t="s">
        <v>14527</v>
      </c>
      <c r="G103" s="291" t="s">
        <v>365</v>
      </c>
      <c r="H103" s="288" t="s">
        <v>349</v>
      </c>
      <c r="I103" s="288" t="s">
        <v>96</v>
      </c>
      <c r="J103" s="288" t="s">
        <v>15571</v>
      </c>
      <c r="K103" s="282" t="s">
        <v>207</v>
      </c>
      <c r="L103" s="294" t="s">
        <v>165</v>
      </c>
      <c r="M103" s="288" t="s">
        <v>14966</v>
      </c>
    </row>
    <row r="104" spans="1:14" ht="82.8">
      <c r="A104" s="288" t="str">
        <f t="shared" si="7"/>
        <v>DefinitionsC4</v>
      </c>
      <c r="B104" s="288" t="s">
        <v>948</v>
      </c>
      <c r="C104" s="288" t="s">
        <v>971</v>
      </c>
      <c r="D104" s="288" t="s">
        <v>1003</v>
      </c>
      <c r="E104" s="254" t="s">
        <v>14125</v>
      </c>
      <c r="F104" s="338"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8" t="s">
        <v>15289</v>
      </c>
      <c r="G105" s="291" t="s">
        <v>15139</v>
      </c>
      <c r="H105" s="288" t="s">
        <v>15141</v>
      </c>
      <c r="I105" s="288" t="s">
        <v>15143</v>
      </c>
      <c r="J105" s="288" t="s">
        <v>15140</v>
      </c>
      <c r="K105" s="282" t="s">
        <v>15142</v>
      </c>
      <c r="L105" s="294" t="s">
        <v>15144</v>
      </c>
      <c r="M105" s="288" t="s">
        <v>15145</v>
      </c>
    </row>
    <row r="106" spans="1:14" ht="176.4">
      <c r="A106" s="288" t="str">
        <f t="shared" ref="A106:A137" si="9">B106&amp;C106</f>
        <v>DefinitionsC6</v>
      </c>
      <c r="B106" s="288" t="s">
        <v>948</v>
      </c>
      <c r="C106" s="288" t="s">
        <v>973</v>
      </c>
      <c r="D106" s="290" t="s">
        <v>1122</v>
      </c>
      <c r="E106" s="319" t="s">
        <v>13553</v>
      </c>
      <c r="F106" s="339" t="s">
        <v>14529</v>
      </c>
      <c r="G106" s="342" t="s">
        <v>14657</v>
      </c>
      <c r="H106" s="290" t="s">
        <v>14715</v>
      </c>
      <c r="I106" s="290" t="s">
        <v>14770</v>
      </c>
      <c r="J106" s="290" t="s">
        <v>1365</v>
      </c>
      <c r="K106" s="284" t="s">
        <v>14832</v>
      </c>
      <c r="L106" s="295" t="s">
        <v>14892</v>
      </c>
      <c r="M106" s="290" t="s">
        <v>14968</v>
      </c>
    </row>
    <row r="107" spans="1:14" ht="124.2">
      <c r="A107" s="288" t="str">
        <f t="shared" si="9"/>
        <v>DefinitionsC7</v>
      </c>
      <c r="B107" s="288" t="s">
        <v>948</v>
      </c>
      <c r="C107" s="288" t="s">
        <v>974</v>
      </c>
      <c r="D107" s="288" t="s">
        <v>1005</v>
      </c>
      <c r="E107" s="254" t="s">
        <v>13554</v>
      </c>
      <c r="F107" s="338" t="s">
        <v>15290</v>
      </c>
      <c r="G107" s="291" t="s">
        <v>366</v>
      </c>
      <c r="H107" s="288" t="s">
        <v>14716</v>
      </c>
      <c r="I107" s="288" t="s">
        <v>98</v>
      </c>
      <c r="J107" s="288" t="s">
        <v>1366</v>
      </c>
      <c r="K107" s="282" t="s">
        <v>319</v>
      </c>
      <c r="L107" s="294" t="s">
        <v>13672</v>
      </c>
      <c r="M107" s="288" t="s">
        <v>13407</v>
      </c>
    </row>
    <row r="108" spans="1:14" ht="151.80000000000001">
      <c r="A108" s="288" t="str">
        <f t="shared" si="9"/>
        <v>DefinitionsC8</v>
      </c>
      <c r="B108" s="288" t="s">
        <v>948</v>
      </c>
      <c r="C108" s="288" t="s">
        <v>975</v>
      </c>
      <c r="D108" s="288" t="s">
        <v>1007</v>
      </c>
      <c r="E108" s="254" t="s">
        <v>13555</v>
      </c>
      <c r="F108" s="338" t="s">
        <v>14530</v>
      </c>
      <c r="G108" s="291" t="s">
        <v>15479</v>
      </c>
      <c r="H108" s="172" t="s">
        <v>277</v>
      </c>
      <c r="I108" s="288" t="s">
        <v>99</v>
      </c>
      <c r="J108" s="288" t="s">
        <v>1367</v>
      </c>
      <c r="K108" s="282" t="s">
        <v>320</v>
      </c>
      <c r="L108" s="294" t="s">
        <v>167</v>
      </c>
      <c r="M108" s="288" t="s">
        <v>13408</v>
      </c>
    </row>
    <row r="109" spans="1:14" ht="69">
      <c r="A109" s="288" t="str">
        <f t="shared" si="9"/>
        <v>DefinitionsC9</v>
      </c>
      <c r="B109" s="288" t="s">
        <v>948</v>
      </c>
      <c r="C109" s="288" t="s">
        <v>976</v>
      </c>
      <c r="D109" s="288" t="s">
        <v>945</v>
      </c>
      <c r="E109" s="254" t="s">
        <v>13556</v>
      </c>
      <c r="F109" s="338"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8" t="s">
        <v>14532</v>
      </c>
      <c r="G110" s="291" t="s">
        <v>1075</v>
      </c>
      <c r="H110" s="288" t="s">
        <v>1076</v>
      </c>
      <c r="I110" s="288" t="s">
        <v>1077</v>
      </c>
      <c r="J110" s="288" t="s">
        <v>1078</v>
      </c>
      <c r="K110" s="282" t="s">
        <v>322</v>
      </c>
      <c r="L110" s="294" t="s">
        <v>607</v>
      </c>
      <c r="M110" s="288" t="s">
        <v>13410</v>
      </c>
    </row>
    <row r="111" spans="1:14" ht="138">
      <c r="A111" s="288" t="str">
        <f t="shared" si="9"/>
        <v>DefinitionsC11</v>
      </c>
      <c r="B111" s="288" t="s">
        <v>948</v>
      </c>
      <c r="C111" s="288" t="s">
        <v>978</v>
      </c>
      <c r="D111" s="288" t="s">
        <v>1008</v>
      </c>
      <c r="E111" s="320" t="s">
        <v>13557</v>
      </c>
      <c r="F111" s="338" t="s">
        <v>14533</v>
      </c>
      <c r="G111" s="291" t="s">
        <v>14659</v>
      </c>
      <c r="H111" s="288" t="s">
        <v>14718</v>
      </c>
      <c r="I111" s="288" t="s">
        <v>14772</v>
      </c>
      <c r="J111" s="288" t="s">
        <v>1368</v>
      </c>
      <c r="K111" s="282" t="s">
        <v>323</v>
      </c>
      <c r="L111" s="294" t="s">
        <v>13673</v>
      </c>
      <c r="M111" s="288" t="s">
        <v>13411</v>
      </c>
    </row>
    <row r="112" spans="1:14" ht="110.4">
      <c r="A112" s="288" t="str">
        <f t="shared" si="9"/>
        <v>DefinitionsC12</v>
      </c>
      <c r="B112" s="288" t="s">
        <v>948</v>
      </c>
      <c r="C112" s="288" t="s">
        <v>979</v>
      </c>
      <c r="D112" s="288" t="s">
        <v>13386</v>
      </c>
      <c r="E112" s="320" t="s">
        <v>13558</v>
      </c>
      <c r="F112" s="338" t="s">
        <v>14534</v>
      </c>
      <c r="G112" s="291" t="s">
        <v>13468</v>
      </c>
      <c r="H112" s="288" t="s">
        <v>13469</v>
      </c>
      <c r="I112" s="288" t="s">
        <v>14773</v>
      </c>
      <c r="J112" s="288" t="s">
        <v>13692</v>
      </c>
      <c r="K112" s="282" t="s">
        <v>13470</v>
      </c>
      <c r="L112" s="294" t="s">
        <v>13471</v>
      </c>
      <c r="M112" s="288" t="s">
        <v>13472</v>
      </c>
    </row>
    <row r="113" spans="1:13" ht="138">
      <c r="A113" s="288" t="str">
        <f t="shared" si="9"/>
        <v>DefinitionsC13</v>
      </c>
      <c r="B113" s="288" t="s">
        <v>948</v>
      </c>
      <c r="C113" s="288" t="s">
        <v>980</v>
      </c>
      <c r="D113" s="288" t="s">
        <v>13387</v>
      </c>
      <c r="E113" s="320" t="s">
        <v>13559</v>
      </c>
      <c r="F113" s="338" t="s">
        <v>14535</v>
      </c>
      <c r="G113" s="291" t="s">
        <v>13473</v>
      </c>
      <c r="H113" s="172" t="s">
        <v>13474</v>
      </c>
      <c r="I113" s="288" t="s">
        <v>13475</v>
      </c>
      <c r="J113" s="288" t="s">
        <v>15572</v>
      </c>
      <c r="K113" s="282" t="s">
        <v>13476</v>
      </c>
      <c r="L113" s="294" t="s">
        <v>13674</v>
      </c>
      <c r="M113" s="288" t="s">
        <v>13460</v>
      </c>
    </row>
    <row r="114" spans="1:13" ht="409.6">
      <c r="A114" s="288" t="str">
        <f t="shared" si="9"/>
        <v>DefinitionsC14</v>
      </c>
      <c r="B114" s="288" t="s">
        <v>948</v>
      </c>
      <c r="C114" s="288" t="s">
        <v>981</v>
      </c>
      <c r="D114" s="288" t="s">
        <v>1010</v>
      </c>
      <c r="E114" s="320" t="s">
        <v>14382</v>
      </c>
      <c r="F114" s="338" t="s">
        <v>15291</v>
      </c>
      <c r="G114" s="291" t="s">
        <v>14660</v>
      </c>
      <c r="H114" s="288" t="s">
        <v>14719</v>
      </c>
      <c r="I114" s="288" t="s">
        <v>14774</v>
      </c>
      <c r="J114" s="288" t="s">
        <v>1347</v>
      </c>
      <c r="K114" s="282" t="s">
        <v>14833</v>
      </c>
      <c r="L114" s="294" t="s">
        <v>14893</v>
      </c>
      <c r="M114" s="288" t="s">
        <v>14969</v>
      </c>
    </row>
    <row r="115" spans="1:13" ht="220.8">
      <c r="A115" s="288" t="str">
        <f t="shared" si="9"/>
        <v>DefinitionsC15</v>
      </c>
      <c r="B115" s="288" t="s">
        <v>948</v>
      </c>
      <c r="C115" s="288" t="s">
        <v>982</v>
      </c>
      <c r="D115" s="288" t="s">
        <v>1013</v>
      </c>
      <c r="E115" s="320" t="s">
        <v>13560</v>
      </c>
      <c r="F115" s="338" t="s">
        <v>14536</v>
      </c>
      <c r="G115" s="291" t="s">
        <v>541</v>
      </c>
      <c r="H115" s="288" t="s">
        <v>278</v>
      </c>
      <c r="I115" s="288" t="s">
        <v>209</v>
      </c>
      <c r="J115" s="288" t="s">
        <v>13693</v>
      </c>
      <c r="K115" s="282" t="s">
        <v>324</v>
      </c>
      <c r="L115" s="294" t="s">
        <v>168</v>
      </c>
      <c r="M115" s="288" t="s">
        <v>13413</v>
      </c>
    </row>
    <row r="116" spans="1:13" ht="110.4">
      <c r="A116" s="288" t="str">
        <f t="shared" si="9"/>
        <v>DefinitionsC16</v>
      </c>
      <c r="B116" s="288" t="s">
        <v>948</v>
      </c>
      <c r="C116" s="288" t="s">
        <v>983</v>
      </c>
      <c r="D116" s="288" t="s">
        <v>1015</v>
      </c>
      <c r="E116" s="254" t="s">
        <v>13561</v>
      </c>
      <c r="F116" s="338" t="s">
        <v>14537</v>
      </c>
      <c r="G116" s="291" t="s">
        <v>15480</v>
      </c>
      <c r="H116" s="288" t="s">
        <v>279</v>
      </c>
      <c r="I116" s="288" t="s">
        <v>210</v>
      </c>
      <c r="J116" s="288" t="s">
        <v>1348</v>
      </c>
      <c r="K116" s="282" t="s">
        <v>325</v>
      </c>
      <c r="L116" s="294" t="s">
        <v>169</v>
      </c>
      <c r="M116" s="288" t="s">
        <v>13414</v>
      </c>
    </row>
    <row r="117" spans="1:13" ht="317.39999999999998">
      <c r="A117" s="288" t="str">
        <f t="shared" si="9"/>
        <v>DefinitionsC17</v>
      </c>
      <c r="B117" s="288" t="s">
        <v>948</v>
      </c>
      <c r="C117" s="288" t="s">
        <v>984</v>
      </c>
      <c r="D117" s="288" t="s">
        <v>1017</v>
      </c>
      <c r="E117" s="320" t="s">
        <v>14383</v>
      </c>
      <c r="F117" s="338" t="s">
        <v>14538</v>
      </c>
      <c r="G117" s="291" t="s">
        <v>14661</v>
      </c>
      <c r="H117" s="288" t="s">
        <v>14720</v>
      </c>
      <c r="I117" s="288" t="s">
        <v>15456</v>
      </c>
      <c r="J117" s="288" t="s">
        <v>1349</v>
      </c>
      <c r="K117" s="282" t="s">
        <v>14834</v>
      </c>
      <c r="L117" s="294" t="s">
        <v>14894</v>
      </c>
      <c r="M117" s="288" t="s">
        <v>14970</v>
      </c>
    </row>
    <row r="118" spans="1:13" ht="207">
      <c r="A118" s="288" t="str">
        <f t="shared" si="9"/>
        <v>DefinitionsC18</v>
      </c>
      <c r="B118" s="288" t="s">
        <v>948</v>
      </c>
      <c r="C118" s="288" t="s">
        <v>985</v>
      </c>
      <c r="D118" s="288" t="s">
        <v>566</v>
      </c>
      <c r="E118" s="320" t="s">
        <v>14384</v>
      </c>
      <c r="F118" s="338" t="s">
        <v>14539</v>
      </c>
      <c r="G118" s="291" t="s">
        <v>14662</v>
      </c>
      <c r="H118" s="172" t="s">
        <v>14721</v>
      </c>
      <c r="I118" s="288" t="s">
        <v>14775</v>
      </c>
      <c r="J118" s="288" t="s">
        <v>1350</v>
      </c>
      <c r="K118" s="282" t="s">
        <v>14835</v>
      </c>
      <c r="L118" s="294" t="s">
        <v>14895</v>
      </c>
      <c r="M118" s="288" t="s">
        <v>14971</v>
      </c>
    </row>
    <row r="119" spans="1:13" ht="27.6">
      <c r="A119" s="288" t="str">
        <f t="shared" si="9"/>
        <v>DefinitionsC19</v>
      </c>
      <c r="B119" s="288" t="s">
        <v>948</v>
      </c>
      <c r="C119" s="288" t="s">
        <v>986</v>
      </c>
      <c r="D119" s="288" t="s">
        <v>568</v>
      </c>
      <c r="E119" s="254" t="s">
        <v>866</v>
      </c>
      <c r="F119" s="331" t="s">
        <v>14540</v>
      </c>
      <c r="G119" s="291" t="s">
        <v>828</v>
      </c>
      <c r="H119" s="288" t="s">
        <v>829</v>
      </c>
      <c r="I119" s="288" t="s">
        <v>211</v>
      </c>
      <c r="J119" s="288" t="s">
        <v>830</v>
      </c>
      <c r="K119" s="282" t="s">
        <v>326</v>
      </c>
      <c r="L119" s="294" t="s">
        <v>608</v>
      </c>
      <c r="M119" s="288" t="s">
        <v>13417</v>
      </c>
    </row>
    <row r="120" spans="1:13" ht="69">
      <c r="A120" s="288" t="str">
        <f t="shared" si="9"/>
        <v>DefinitionsC20</v>
      </c>
      <c r="B120" s="288" t="s">
        <v>948</v>
      </c>
      <c r="C120" s="288" t="s">
        <v>987</v>
      </c>
      <c r="D120" s="288" t="s">
        <v>947</v>
      </c>
      <c r="E120" s="254" t="s">
        <v>13418</v>
      </c>
      <c r="F120" s="331" t="s">
        <v>14541</v>
      </c>
      <c r="G120" s="291" t="s">
        <v>831</v>
      </c>
      <c r="H120" s="288" t="s">
        <v>280</v>
      </c>
      <c r="I120" s="288" t="s">
        <v>212</v>
      </c>
      <c r="J120" s="288" t="s">
        <v>832</v>
      </c>
      <c r="K120" s="282" t="s">
        <v>327</v>
      </c>
      <c r="L120" s="294" t="s">
        <v>609</v>
      </c>
      <c r="M120" s="288" t="s">
        <v>13419</v>
      </c>
    </row>
    <row r="121" spans="1:13" ht="27.6">
      <c r="A121" s="288" t="str">
        <f t="shared" si="9"/>
        <v>DefinitionsC21</v>
      </c>
      <c r="B121" s="288" t="s">
        <v>948</v>
      </c>
      <c r="C121" s="288" t="s">
        <v>988</v>
      </c>
      <c r="D121" s="288" t="s">
        <v>13384</v>
      </c>
      <c r="E121" s="254" t="s">
        <v>13562</v>
      </c>
      <c r="F121" s="331" t="s">
        <v>14542</v>
      </c>
      <c r="G121" s="291" t="s">
        <v>14663</v>
      </c>
      <c r="H121" s="288" t="s">
        <v>13384</v>
      </c>
      <c r="I121" s="288" t="s">
        <v>13384</v>
      </c>
      <c r="J121" s="288" t="s">
        <v>13384</v>
      </c>
      <c r="K121" s="282" t="s">
        <v>13384</v>
      </c>
      <c r="L121" s="294" t="s">
        <v>13384</v>
      </c>
      <c r="M121" s="288" t="s">
        <v>13384</v>
      </c>
    </row>
    <row r="122" spans="1:13" ht="151.80000000000001">
      <c r="A122" s="288" t="str">
        <f t="shared" si="9"/>
        <v>DefinitionsC22</v>
      </c>
      <c r="B122" s="288" t="s">
        <v>948</v>
      </c>
      <c r="C122" s="288" t="s">
        <v>989</v>
      </c>
      <c r="D122" s="288" t="s">
        <v>574</v>
      </c>
      <c r="E122" s="320" t="s">
        <v>13563</v>
      </c>
      <c r="F122" s="331" t="s">
        <v>14543</v>
      </c>
      <c r="G122" s="291" t="s">
        <v>13420</v>
      </c>
      <c r="H122" s="288" t="s">
        <v>13421</v>
      </c>
      <c r="I122" s="288" t="s">
        <v>213</v>
      </c>
      <c r="J122" s="288" t="s">
        <v>1351</v>
      </c>
      <c r="K122" s="282" t="s">
        <v>328</v>
      </c>
      <c r="L122" s="294" t="s">
        <v>170</v>
      </c>
      <c r="M122" s="288" t="s">
        <v>13422</v>
      </c>
    </row>
    <row r="123" spans="1:13" ht="96.6">
      <c r="A123" s="288" t="str">
        <f t="shared" si="9"/>
        <v>DefinitionsC23</v>
      </c>
      <c r="B123" s="288" t="s">
        <v>948</v>
      </c>
      <c r="C123" s="288" t="s">
        <v>990</v>
      </c>
      <c r="D123" s="288" t="s">
        <v>13383</v>
      </c>
      <c r="E123" s="254" t="s">
        <v>13564</v>
      </c>
      <c r="F123" s="338" t="s">
        <v>14544</v>
      </c>
      <c r="G123" s="291" t="s">
        <v>14664</v>
      </c>
      <c r="H123" s="288" t="s">
        <v>13663</v>
      </c>
      <c r="I123" s="288" t="s">
        <v>13704</v>
      </c>
      <c r="J123" s="288" t="s">
        <v>13694</v>
      </c>
      <c r="K123" s="282" t="s">
        <v>13511</v>
      </c>
      <c r="L123" s="294" t="s">
        <v>14896</v>
      </c>
      <c r="M123" s="288" t="s">
        <v>13657</v>
      </c>
    </row>
    <row r="124" spans="1:13" ht="276">
      <c r="A124" s="288" t="str">
        <f t="shared" si="9"/>
        <v>DefinitionsC24</v>
      </c>
      <c r="B124" s="288" t="s">
        <v>948</v>
      </c>
      <c r="C124" s="288" t="s">
        <v>569</v>
      </c>
      <c r="D124" s="288" t="s">
        <v>15248</v>
      </c>
      <c r="E124" s="320" t="s">
        <v>13565</v>
      </c>
      <c r="F124" s="338" t="s">
        <v>15269</v>
      </c>
      <c r="G124" s="291" t="s">
        <v>14665</v>
      </c>
      <c r="H124" s="288" t="s">
        <v>15270</v>
      </c>
      <c r="I124" s="288" t="s">
        <v>13705</v>
      </c>
      <c r="J124" s="288" t="s">
        <v>15271</v>
      </c>
      <c r="K124" s="282" t="s">
        <v>15272</v>
      </c>
      <c r="L124" s="294" t="s">
        <v>15273</v>
      </c>
      <c r="M124" s="288" t="s">
        <v>15274</v>
      </c>
    </row>
    <row r="125" spans="1:13" ht="248.4">
      <c r="A125" s="288" t="str">
        <f t="shared" si="9"/>
        <v>DefinitionsC25</v>
      </c>
      <c r="B125" s="288" t="s">
        <v>948</v>
      </c>
      <c r="C125" s="288" t="s">
        <v>570</v>
      </c>
      <c r="D125" s="288" t="s">
        <v>13382</v>
      </c>
      <c r="E125" s="320" t="s">
        <v>14385</v>
      </c>
      <c r="F125" s="338" t="s">
        <v>14545</v>
      </c>
      <c r="G125" s="291" t="s">
        <v>14666</v>
      </c>
      <c r="H125" s="288" t="s">
        <v>14722</v>
      </c>
      <c r="I125" s="288" t="s">
        <v>14776</v>
      </c>
      <c r="J125" s="288" t="s">
        <v>13695</v>
      </c>
      <c r="K125" s="282" t="s">
        <v>14836</v>
      </c>
      <c r="L125" s="294" t="s">
        <v>14897</v>
      </c>
      <c r="M125" s="288" t="s">
        <v>14972</v>
      </c>
    </row>
    <row r="126" spans="1:13" ht="27.6">
      <c r="A126" s="288" t="str">
        <f t="shared" si="9"/>
        <v>DefinitionsC26</v>
      </c>
      <c r="B126" s="288" t="s">
        <v>948</v>
      </c>
      <c r="C126" s="288" t="s">
        <v>573</v>
      </c>
      <c r="D126" s="288" t="s">
        <v>577</v>
      </c>
      <c r="E126" s="254" t="s">
        <v>13566</v>
      </c>
      <c r="F126" s="338" t="s">
        <v>14546</v>
      </c>
      <c r="G126" s="291" t="s">
        <v>1079</v>
      </c>
      <c r="H126" s="288" t="s">
        <v>577</v>
      </c>
      <c r="I126" s="288" t="s">
        <v>214</v>
      </c>
      <c r="J126" s="288" t="s">
        <v>577</v>
      </c>
      <c r="K126" s="282" t="s">
        <v>577</v>
      </c>
      <c r="L126" s="294" t="s">
        <v>577</v>
      </c>
      <c r="M126" s="288" t="s">
        <v>13423</v>
      </c>
    </row>
    <row r="127" spans="1:13" ht="138">
      <c r="A127" s="288" t="str">
        <f t="shared" si="9"/>
        <v>DefinitionsC27</v>
      </c>
      <c r="B127" s="288" t="s">
        <v>948</v>
      </c>
      <c r="C127" s="288" t="s">
        <v>576</v>
      </c>
      <c r="D127" s="288" t="s">
        <v>580</v>
      </c>
      <c r="E127" s="320" t="s">
        <v>13567</v>
      </c>
      <c r="F127" s="338" t="s">
        <v>14547</v>
      </c>
      <c r="G127" s="291" t="s">
        <v>13424</v>
      </c>
      <c r="H127" s="288" t="s">
        <v>13425</v>
      </c>
      <c r="I127" s="288" t="s">
        <v>215</v>
      </c>
      <c r="J127" s="288" t="s">
        <v>1369</v>
      </c>
      <c r="K127" s="282" t="s">
        <v>329</v>
      </c>
      <c r="L127" s="294" t="s">
        <v>171</v>
      </c>
      <c r="M127" s="288" t="s">
        <v>13426</v>
      </c>
    </row>
    <row r="128" spans="1:13" ht="82.8">
      <c r="A128" s="288" t="str">
        <f t="shared" si="9"/>
        <v>DefinitionsC28</v>
      </c>
      <c r="B128" s="288" t="s">
        <v>948</v>
      </c>
      <c r="C128" s="288" t="s">
        <v>579</v>
      </c>
      <c r="D128" s="288" t="s">
        <v>13388</v>
      </c>
      <c r="E128" s="254" t="s">
        <v>13568</v>
      </c>
      <c r="F128" s="338" t="s">
        <v>14548</v>
      </c>
      <c r="G128" s="291" t="s">
        <v>14667</v>
      </c>
      <c r="H128" s="288" t="s">
        <v>13664</v>
      </c>
      <c r="I128" s="288" t="s">
        <v>15249</v>
      </c>
      <c r="J128" s="288" t="s">
        <v>13696</v>
      </c>
      <c r="K128" s="282" t="s">
        <v>13512</v>
      </c>
      <c r="L128" s="294" t="s">
        <v>13675</v>
      </c>
      <c r="M128" s="288" t="s">
        <v>13658</v>
      </c>
    </row>
    <row r="129" spans="1:13" ht="207">
      <c r="A129" s="288" t="str">
        <f t="shared" si="9"/>
        <v>DefinitionsC29</v>
      </c>
      <c r="B129" s="288" t="s">
        <v>948</v>
      </c>
      <c r="C129" s="288" t="s">
        <v>582</v>
      </c>
      <c r="D129" s="288" t="s">
        <v>13389</v>
      </c>
      <c r="E129" s="320" t="s">
        <v>13569</v>
      </c>
      <c r="F129" s="338" t="s">
        <v>14549</v>
      </c>
      <c r="G129" s="291" t="s">
        <v>13482</v>
      </c>
      <c r="H129" s="288" t="s">
        <v>13483</v>
      </c>
      <c r="I129" s="288" t="s">
        <v>13484</v>
      </c>
      <c r="J129" s="288" t="s">
        <v>15573</v>
      </c>
      <c r="K129" s="282" t="s">
        <v>13485</v>
      </c>
      <c r="L129" s="294" t="s">
        <v>13486</v>
      </c>
      <c r="M129" s="288" t="s">
        <v>13479</v>
      </c>
    </row>
    <row r="130" spans="1:13" ht="193.2">
      <c r="A130" s="288" t="str">
        <f t="shared" si="9"/>
        <v>DefinitionsC30</v>
      </c>
      <c r="B130" s="288" t="s">
        <v>948</v>
      </c>
      <c r="C130" s="288" t="s">
        <v>586</v>
      </c>
      <c r="D130" s="288" t="s">
        <v>13390</v>
      </c>
      <c r="E130" s="320" t="s">
        <v>14386</v>
      </c>
      <c r="F130" s="338" t="s">
        <v>14550</v>
      </c>
      <c r="G130" s="291" t="s">
        <v>14668</v>
      </c>
      <c r="H130" s="172" t="s">
        <v>13487</v>
      </c>
      <c r="I130" s="288" t="s">
        <v>14777</v>
      </c>
      <c r="J130" s="288" t="s">
        <v>15574</v>
      </c>
      <c r="K130" s="282" t="s">
        <v>13488</v>
      </c>
      <c r="L130" s="294" t="s">
        <v>13489</v>
      </c>
      <c r="M130" s="288" t="s">
        <v>13480</v>
      </c>
    </row>
    <row r="131" spans="1:13" ht="179.4">
      <c r="A131" s="288" t="str">
        <f t="shared" si="9"/>
        <v>DefinitionsC31</v>
      </c>
      <c r="B131" s="288" t="s">
        <v>948</v>
      </c>
      <c r="C131" s="288" t="s">
        <v>14248</v>
      </c>
      <c r="D131" s="288" t="s">
        <v>13391</v>
      </c>
      <c r="E131" s="320" t="s">
        <v>13570</v>
      </c>
      <c r="F131" s="338"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8" t="s">
        <v>409</v>
      </c>
      <c r="G132" s="291" t="s">
        <v>409</v>
      </c>
      <c r="H132" s="288" t="s">
        <v>409</v>
      </c>
      <c r="I132" s="288" t="s">
        <v>409</v>
      </c>
      <c r="J132" s="288" t="s">
        <v>409</v>
      </c>
      <c r="K132" s="291" t="s">
        <v>409</v>
      </c>
      <c r="L132" s="294" t="s">
        <v>409</v>
      </c>
      <c r="M132" s="204" t="s">
        <v>409</v>
      </c>
    </row>
    <row r="133" spans="1:13" ht="27.6">
      <c r="A133" s="288" t="str">
        <f t="shared" si="9"/>
        <v>DeclarationF3</v>
      </c>
      <c r="B133" s="288" t="s">
        <v>991</v>
      </c>
      <c r="C133" s="288" t="s">
        <v>1862</v>
      </c>
      <c r="D133" s="288" t="s">
        <v>1863</v>
      </c>
      <c r="E133" s="254" t="s">
        <v>13571</v>
      </c>
      <c r="F133" s="338" t="s">
        <v>1873</v>
      </c>
      <c r="G133" s="291" t="s">
        <v>1874</v>
      </c>
      <c r="H133" s="288" t="s">
        <v>1875</v>
      </c>
      <c r="I133" s="288" t="s">
        <v>1876</v>
      </c>
      <c r="J133" s="288" t="s">
        <v>1877</v>
      </c>
      <c r="K133" s="291" t="s">
        <v>1878</v>
      </c>
      <c r="L133" s="300" t="s">
        <v>1879</v>
      </c>
      <c r="M133" s="288" t="s">
        <v>14973</v>
      </c>
    </row>
    <row r="134" spans="1:13" ht="27.6">
      <c r="A134" s="288" t="str">
        <f t="shared" si="9"/>
        <v>DeclarationI3</v>
      </c>
      <c r="B134" s="288" t="s">
        <v>991</v>
      </c>
      <c r="C134" s="288" t="s">
        <v>1864</v>
      </c>
      <c r="D134" s="288" t="s">
        <v>1865</v>
      </c>
      <c r="E134" s="254" t="s">
        <v>13572</v>
      </c>
      <c r="F134" s="338"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8" t="s">
        <v>1887</v>
      </c>
      <c r="G135" s="291" t="s">
        <v>1888</v>
      </c>
      <c r="H135" s="288" t="s">
        <v>1889</v>
      </c>
      <c r="I135" s="288" t="s">
        <v>1890</v>
      </c>
      <c r="J135" s="288" t="s">
        <v>1891</v>
      </c>
      <c r="K135" s="291" t="s">
        <v>1892</v>
      </c>
      <c r="L135" s="300" t="s">
        <v>1893</v>
      </c>
      <c r="M135" s="288" t="s">
        <v>14975</v>
      </c>
    </row>
    <row r="136" spans="1:13" ht="41.4">
      <c r="A136" s="288" t="str">
        <f t="shared" si="9"/>
        <v>DeclarationB4</v>
      </c>
      <c r="B136" s="288" t="s">
        <v>991</v>
      </c>
      <c r="C136" s="288" t="s">
        <v>950</v>
      </c>
      <c r="D136" s="288" t="s">
        <v>840</v>
      </c>
      <c r="E136" s="320" t="s">
        <v>13573</v>
      </c>
      <c r="F136" s="338" t="s">
        <v>14552</v>
      </c>
      <c r="G136" s="291" t="s">
        <v>870</v>
      </c>
      <c r="H136" s="288" t="s">
        <v>367</v>
      </c>
      <c r="I136" s="288" t="s">
        <v>216</v>
      </c>
      <c r="J136" s="288" t="s">
        <v>1352</v>
      </c>
      <c r="K136" s="282" t="s">
        <v>330</v>
      </c>
      <c r="L136" s="294" t="s">
        <v>444</v>
      </c>
      <c r="M136" s="288" t="s">
        <v>14976</v>
      </c>
    </row>
    <row r="137" spans="1:13" ht="43.2">
      <c r="A137" s="288" t="str">
        <f t="shared" si="9"/>
        <v>DeclarationB6</v>
      </c>
      <c r="B137" s="288" t="s">
        <v>991</v>
      </c>
      <c r="C137" s="288" t="s">
        <v>952</v>
      </c>
      <c r="D137" s="288" t="s">
        <v>12604</v>
      </c>
      <c r="E137" s="288" t="s">
        <v>14387</v>
      </c>
      <c r="F137" s="333" t="s">
        <v>14553</v>
      </c>
      <c r="G137" s="344" t="s">
        <v>14670</v>
      </c>
      <c r="H137" s="285" t="s">
        <v>14723</v>
      </c>
      <c r="I137" s="296" t="s">
        <v>14778</v>
      </c>
      <c r="J137" s="296" t="s">
        <v>15119</v>
      </c>
      <c r="K137" s="297" t="s">
        <v>14837</v>
      </c>
      <c r="L137" s="298" t="s">
        <v>13676</v>
      </c>
      <c r="M137" s="296" t="s">
        <v>14977</v>
      </c>
    </row>
    <row r="138" spans="1:13" ht="55.2">
      <c r="A138" s="288" t="str">
        <f t="shared" ref="A138:A168" si="10">B138&amp;C138</f>
        <v>DeclarationB7</v>
      </c>
      <c r="B138" s="288" t="s">
        <v>991</v>
      </c>
      <c r="C138" s="288" t="s">
        <v>953</v>
      </c>
      <c r="D138" s="288" t="s">
        <v>1036</v>
      </c>
      <c r="E138" s="320" t="s">
        <v>917</v>
      </c>
      <c r="F138" s="338"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8"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8" t="s">
        <v>14556</v>
      </c>
      <c r="G140" s="291" t="s">
        <v>542</v>
      </c>
      <c r="H140" s="288" t="s">
        <v>873</v>
      </c>
      <c r="I140" s="288" t="s">
        <v>219</v>
      </c>
      <c r="J140" s="288" t="s">
        <v>2190</v>
      </c>
      <c r="K140" s="282" t="s">
        <v>333</v>
      </c>
      <c r="L140" s="294" t="s">
        <v>447</v>
      </c>
      <c r="M140" s="288" t="s">
        <v>14980</v>
      </c>
    </row>
    <row r="141" spans="1:13">
      <c r="A141" s="288" t="str">
        <f t="shared" si="10"/>
        <v>DeclarationB10</v>
      </c>
      <c r="B141" s="288" t="s">
        <v>991</v>
      </c>
      <c r="C141" s="288" t="s">
        <v>508</v>
      </c>
      <c r="D141" s="288" t="s">
        <v>505</v>
      </c>
      <c r="E141" s="254" t="s">
        <v>408</v>
      </c>
      <c r="F141" s="338" t="s">
        <v>14557</v>
      </c>
      <c r="G141" s="291" t="s">
        <v>543</v>
      </c>
      <c r="H141" s="288" t="s">
        <v>509</v>
      </c>
      <c r="I141" s="288" t="s">
        <v>220</v>
      </c>
      <c r="J141" s="288" t="s">
        <v>2191</v>
      </c>
      <c r="K141" s="282" t="s">
        <v>334</v>
      </c>
      <c r="L141" s="294" t="s">
        <v>512</v>
      </c>
      <c r="M141" s="288" t="s">
        <v>14981</v>
      </c>
    </row>
    <row r="142" spans="1:13">
      <c r="A142" s="288" t="str">
        <f t="shared" si="10"/>
        <v>DeclarationB10A</v>
      </c>
      <c r="B142" s="288" t="s">
        <v>991</v>
      </c>
      <c r="C142" s="288" t="s">
        <v>1437</v>
      </c>
      <c r="D142" s="288" t="s">
        <v>505</v>
      </c>
      <c r="E142" s="254" t="s">
        <v>408</v>
      </c>
      <c r="F142" s="338" t="s">
        <v>14557</v>
      </c>
      <c r="G142" s="291" t="s">
        <v>543</v>
      </c>
      <c r="H142" s="288" t="s">
        <v>509</v>
      </c>
      <c r="I142" s="288" t="s">
        <v>220</v>
      </c>
      <c r="J142" s="288" t="s">
        <v>2191</v>
      </c>
      <c r="K142" s="282" t="s">
        <v>334</v>
      </c>
      <c r="L142" s="294" t="s">
        <v>512</v>
      </c>
      <c r="M142" s="288" t="s">
        <v>14981</v>
      </c>
    </row>
    <row r="143" spans="1:13">
      <c r="A143" s="288" t="str">
        <f t="shared" si="10"/>
        <v>DeclarationB10C</v>
      </c>
      <c r="B143" s="288" t="s">
        <v>991</v>
      </c>
      <c r="C143" s="288" t="s">
        <v>1438</v>
      </c>
      <c r="D143" s="288" t="s">
        <v>506</v>
      </c>
      <c r="E143" s="254" t="s">
        <v>13576</v>
      </c>
      <c r="F143" s="338" t="s">
        <v>14558</v>
      </c>
      <c r="G143" s="291" t="s">
        <v>544</v>
      </c>
      <c r="H143" s="288" t="s">
        <v>510</v>
      </c>
      <c r="I143" s="288" t="s">
        <v>221</v>
      </c>
      <c r="J143" s="288" t="s">
        <v>2192</v>
      </c>
      <c r="K143" s="282" t="s">
        <v>335</v>
      </c>
      <c r="L143" s="294" t="s">
        <v>513</v>
      </c>
      <c r="M143" s="288" t="s">
        <v>14982</v>
      </c>
    </row>
    <row r="144" spans="1:13" ht="27.6">
      <c r="A144" s="288" t="str">
        <f t="shared" si="10"/>
        <v>DeclarationB10B</v>
      </c>
      <c r="B144" s="288" t="s">
        <v>991</v>
      </c>
      <c r="C144" s="288" t="s">
        <v>1439</v>
      </c>
      <c r="D144" s="288" t="s">
        <v>507</v>
      </c>
      <c r="E144" s="320" t="s">
        <v>13577</v>
      </c>
      <c r="F144" s="338" t="s">
        <v>14559</v>
      </c>
      <c r="G144" s="291" t="s">
        <v>545</v>
      </c>
      <c r="H144" s="288" t="s">
        <v>369</v>
      </c>
      <c r="I144" s="288" t="s">
        <v>222</v>
      </c>
      <c r="J144" s="288" t="s">
        <v>511</v>
      </c>
      <c r="K144" s="282" t="s">
        <v>336</v>
      </c>
      <c r="L144" s="294" t="s">
        <v>514</v>
      </c>
      <c r="M144" s="288" t="s">
        <v>14983</v>
      </c>
    </row>
    <row r="145" spans="1:13" ht="27.6">
      <c r="A145" s="288" t="str">
        <f t="shared" si="10"/>
        <v>DeclarationD11</v>
      </c>
      <c r="B145" s="288" t="s">
        <v>991</v>
      </c>
      <c r="C145" s="288" t="s">
        <v>1541</v>
      </c>
      <c r="D145" s="288" t="s">
        <v>1540</v>
      </c>
      <c r="E145" s="320" t="s">
        <v>13578</v>
      </c>
      <c r="F145" s="338" t="s">
        <v>1894</v>
      </c>
      <c r="G145" s="291" t="s">
        <v>15481</v>
      </c>
      <c r="H145" s="288" t="s">
        <v>1895</v>
      </c>
      <c r="I145" s="288" t="s">
        <v>1896</v>
      </c>
      <c r="J145" s="288" t="s">
        <v>1897</v>
      </c>
      <c r="K145" s="291" t="s">
        <v>1898</v>
      </c>
      <c r="L145" s="300" t="s">
        <v>1899</v>
      </c>
      <c r="M145" s="288" t="s">
        <v>14984</v>
      </c>
    </row>
    <row r="146" spans="1:13" ht="27.6">
      <c r="A146" s="288" t="str">
        <f t="shared" si="10"/>
        <v>DeclarationB12</v>
      </c>
      <c r="B146" s="288" t="s">
        <v>991</v>
      </c>
      <c r="C146" s="288" t="s">
        <v>958</v>
      </c>
      <c r="D146" s="288" t="s">
        <v>462</v>
      </c>
      <c r="E146" s="320" t="s">
        <v>13579</v>
      </c>
      <c r="F146" s="338" t="s">
        <v>14560</v>
      </c>
      <c r="G146" s="291" t="s">
        <v>1081</v>
      </c>
      <c r="H146" s="288" t="s">
        <v>370</v>
      </c>
      <c r="I146" s="288" t="s">
        <v>223</v>
      </c>
      <c r="J146" s="288" t="s">
        <v>2193</v>
      </c>
      <c r="K146" s="282" t="s">
        <v>337</v>
      </c>
      <c r="L146" s="294" t="s">
        <v>13677</v>
      </c>
      <c r="M146" s="288" t="s">
        <v>14985</v>
      </c>
    </row>
    <row r="147" spans="1:13" ht="27.6">
      <c r="A147" s="288" t="str">
        <f t="shared" si="10"/>
        <v>DeclarationB13</v>
      </c>
      <c r="B147" s="288" t="s">
        <v>991</v>
      </c>
      <c r="C147" s="288" t="s">
        <v>959</v>
      </c>
      <c r="D147" s="288" t="s">
        <v>463</v>
      </c>
      <c r="E147" s="320" t="s">
        <v>13580</v>
      </c>
      <c r="F147" s="338" t="s">
        <v>14561</v>
      </c>
      <c r="G147" s="291" t="s">
        <v>546</v>
      </c>
      <c r="H147" s="288" t="s">
        <v>371</v>
      </c>
      <c r="I147" s="288" t="s">
        <v>224</v>
      </c>
      <c r="J147" s="288" t="s">
        <v>2194</v>
      </c>
      <c r="K147" s="282" t="s">
        <v>13708</v>
      </c>
      <c r="L147" s="294" t="s">
        <v>13678</v>
      </c>
      <c r="M147" s="288" t="s">
        <v>14986</v>
      </c>
    </row>
    <row r="148" spans="1:13">
      <c r="A148" s="288" t="str">
        <f t="shared" si="10"/>
        <v>DeclarationB14</v>
      </c>
      <c r="B148" s="288" t="s">
        <v>991</v>
      </c>
      <c r="C148" s="288" t="s">
        <v>960</v>
      </c>
      <c r="D148" s="288" t="s">
        <v>834</v>
      </c>
      <c r="E148" s="254" t="s">
        <v>13581</v>
      </c>
      <c r="F148" s="338" t="s">
        <v>14562</v>
      </c>
      <c r="G148" s="291" t="s">
        <v>1082</v>
      </c>
      <c r="H148" s="288" t="s">
        <v>874</v>
      </c>
      <c r="I148" s="288" t="s">
        <v>225</v>
      </c>
      <c r="J148" s="288" t="s">
        <v>874</v>
      </c>
      <c r="K148" s="282" t="s">
        <v>338</v>
      </c>
      <c r="L148" s="294" t="s">
        <v>448</v>
      </c>
      <c r="M148" s="288" t="s">
        <v>14987</v>
      </c>
    </row>
    <row r="149" spans="1:13">
      <c r="A149" s="288" t="str">
        <f t="shared" si="10"/>
        <v>DeclarationB15</v>
      </c>
      <c r="B149" s="288" t="s">
        <v>991</v>
      </c>
      <c r="C149" s="288" t="s">
        <v>961</v>
      </c>
      <c r="D149" s="288" t="s">
        <v>464</v>
      </c>
      <c r="E149" s="254" t="s">
        <v>13582</v>
      </c>
      <c r="F149" s="338" t="s">
        <v>14563</v>
      </c>
      <c r="G149" s="291" t="s">
        <v>875</v>
      </c>
      <c r="H149" s="288" t="s">
        <v>372</v>
      </c>
      <c r="I149" s="288" t="s">
        <v>226</v>
      </c>
      <c r="J149" s="288" t="s">
        <v>2195</v>
      </c>
      <c r="K149" s="282" t="s">
        <v>13709</v>
      </c>
      <c r="L149" s="294" t="s">
        <v>172</v>
      </c>
      <c r="M149" s="288" t="s">
        <v>14988</v>
      </c>
    </row>
    <row r="150" spans="1:13">
      <c r="A150" s="288" t="str">
        <f t="shared" si="10"/>
        <v>DeclarationB16</v>
      </c>
      <c r="B150" s="288" t="s">
        <v>991</v>
      </c>
      <c r="C150" s="288" t="s">
        <v>962</v>
      </c>
      <c r="D150" s="288" t="s">
        <v>465</v>
      </c>
      <c r="E150" s="254" t="s">
        <v>13583</v>
      </c>
      <c r="F150" s="338" t="s">
        <v>14564</v>
      </c>
      <c r="G150" s="291" t="s">
        <v>1083</v>
      </c>
      <c r="H150" s="288" t="s">
        <v>373</v>
      </c>
      <c r="I150" s="288" t="s">
        <v>227</v>
      </c>
      <c r="J150" s="288" t="s">
        <v>2196</v>
      </c>
      <c r="K150" s="282" t="s">
        <v>13710</v>
      </c>
      <c r="L150" s="294" t="s">
        <v>173</v>
      </c>
      <c r="M150" s="288" t="s">
        <v>14989</v>
      </c>
    </row>
    <row r="151" spans="1:13">
      <c r="A151" s="288" t="str">
        <f t="shared" si="10"/>
        <v>DeclarationB17</v>
      </c>
      <c r="B151" s="288" t="s">
        <v>991</v>
      </c>
      <c r="C151" s="288" t="s">
        <v>963</v>
      </c>
      <c r="D151" s="288" t="s">
        <v>466</v>
      </c>
      <c r="E151" s="254" t="s">
        <v>13584</v>
      </c>
      <c r="F151" s="338" t="s">
        <v>14565</v>
      </c>
      <c r="G151" s="291" t="s">
        <v>547</v>
      </c>
      <c r="H151" s="288" t="s">
        <v>374</v>
      </c>
      <c r="I151" s="288" t="s">
        <v>228</v>
      </c>
      <c r="J151" s="288" t="s">
        <v>2197</v>
      </c>
      <c r="K151" s="282" t="s">
        <v>13711</v>
      </c>
      <c r="L151" s="294" t="s">
        <v>174</v>
      </c>
      <c r="M151" s="288" t="s">
        <v>14990</v>
      </c>
    </row>
    <row r="152" spans="1:13">
      <c r="A152" s="288" t="str">
        <f t="shared" si="10"/>
        <v>DeclarationB18</v>
      </c>
      <c r="B152" s="288" t="s">
        <v>991</v>
      </c>
      <c r="C152" s="288" t="s">
        <v>964</v>
      </c>
      <c r="D152" s="288" t="s">
        <v>497</v>
      </c>
      <c r="E152" s="254" t="s">
        <v>13585</v>
      </c>
      <c r="F152" s="338" t="s">
        <v>14566</v>
      </c>
      <c r="G152" s="291" t="s">
        <v>15482</v>
      </c>
      <c r="H152" s="288" t="s">
        <v>130</v>
      </c>
      <c r="I152" s="288" t="s">
        <v>229</v>
      </c>
      <c r="J152" s="288" t="s">
        <v>1374</v>
      </c>
      <c r="K152" s="282" t="s">
        <v>13712</v>
      </c>
      <c r="L152" s="294" t="s">
        <v>175</v>
      </c>
      <c r="M152" s="288" t="s">
        <v>14991</v>
      </c>
    </row>
    <row r="153" spans="1:13">
      <c r="A153" s="288" t="str">
        <f t="shared" si="10"/>
        <v>DeclarationB19</v>
      </c>
      <c r="B153" s="288" t="s">
        <v>991</v>
      </c>
      <c r="C153" s="288" t="s">
        <v>965</v>
      </c>
      <c r="D153" s="288" t="s">
        <v>498</v>
      </c>
      <c r="E153" s="254" t="s">
        <v>13586</v>
      </c>
      <c r="F153" s="338" t="s">
        <v>14567</v>
      </c>
      <c r="G153" s="291" t="s">
        <v>15483</v>
      </c>
      <c r="H153" s="288" t="s">
        <v>628</v>
      </c>
      <c r="I153" s="288" t="s">
        <v>13706</v>
      </c>
      <c r="J153" s="288" t="s">
        <v>2198</v>
      </c>
      <c r="K153" s="282" t="s">
        <v>13707</v>
      </c>
      <c r="L153" s="294" t="s">
        <v>176</v>
      </c>
      <c r="M153" s="288" t="s">
        <v>14992</v>
      </c>
    </row>
    <row r="154" spans="1:13">
      <c r="A154" s="288" t="str">
        <f t="shared" si="10"/>
        <v>DeclarationB20</v>
      </c>
      <c r="B154" s="288" t="s">
        <v>991</v>
      </c>
      <c r="C154" s="288" t="s">
        <v>966</v>
      </c>
      <c r="D154" s="288" t="s">
        <v>499</v>
      </c>
      <c r="E154" s="254" t="s">
        <v>13587</v>
      </c>
      <c r="F154" s="338" t="s">
        <v>14568</v>
      </c>
      <c r="G154" s="291" t="s">
        <v>15484</v>
      </c>
      <c r="H154" s="288" t="s">
        <v>375</v>
      </c>
      <c r="I154" s="288" t="s">
        <v>230</v>
      </c>
      <c r="J154" s="288" t="s">
        <v>2199</v>
      </c>
      <c r="K154" s="282" t="s">
        <v>13713</v>
      </c>
      <c r="L154" s="294" t="s">
        <v>177</v>
      </c>
      <c r="M154" s="288" t="s">
        <v>14993</v>
      </c>
    </row>
    <row r="155" spans="1:13">
      <c r="A155" s="288" t="str">
        <f t="shared" si="10"/>
        <v>DeclarationB21</v>
      </c>
      <c r="B155" s="288" t="s">
        <v>991</v>
      </c>
      <c r="C155" s="288" t="s">
        <v>967</v>
      </c>
      <c r="D155" s="288" t="s">
        <v>14126</v>
      </c>
      <c r="E155" s="254" t="s">
        <v>14127</v>
      </c>
      <c r="F155" s="327" t="s">
        <v>14128</v>
      </c>
      <c r="G155" s="291" t="s">
        <v>15485</v>
      </c>
      <c r="H155" s="288" t="s">
        <v>376</v>
      </c>
      <c r="I155" s="288" t="s">
        <v>14129</v>
      </c>
      <c r="J155" s="288" t="s">
        <v>14130</v>
      </c>
      <c r="K155" s="282" t="s">
        <v>14131</v>
      </c>
      <c r="L155" s="294" t="s">
        <v>14132</v>
      </c>
      <c r="M155" s="288" t="s">
        <v>14133</v>
      </c>
    </row>
    <row r="156" spans="1:13">
      <c r="A156" s="288" t="str">
        <f t="shared" si="10"/>
        <v>DeclarationB22</v>
      </c>
      <c r="B156" s="288" t="s">
        <v>991</v>
      </c>
      <c r="C156" s="288" t="s">
        <v>968</v>
      </c>
      <c r="D156" s="288" t="s">
        <v>467</v>
      </c>
      <c r="E156" s="283" t="s">
        <v>13588</v>
      </c>
      <c r="F156" s="338" t="s">
        <v>14569</v>
      </c>
      <c r="G156" s="291" t="s">
        <v>548</v>
      </c>
      <c r="H156" s="288" t="s">
        <v>377</v>
      </c>
      <c r="I156" s="288" t="s">
        <v>231</v>
      </c>
      <c r="J156" s="288" t="s">
        <v>1375</v>
      </c>
      <c r="K156" s="282" t="s">
        <v>13714</v>
      </c>
      <c r="L156" s="294" t="s">
        <v>178</v>
      </c>
      <c r="M156" s="288" t="s">
        <v>14994</v>
      </c>
    </row>
    <row r="157" spans="1:13" ht="27.6">
      <c r="A157" s="288" t="str">
        <f t="shared" si="10"/>
        <v>DeclarationB24</v>
      </c>
      <c r="B157" s="288" t="s">
        <v>991</v>
      </c>
      <c r="C157" s="288" t="s">
        <v>996</v>
      </c>
      <c r="D157" s="288" t="s">
        <v>14259</v>
      </c>
      <c r="E157" s="254" t="s">
        <v>14260</v>
      </c>
      <c r="F157" s="338" t="s">
        <v>14570</v>
      </c>
      <c r="G157" s="291" t="s">
        <v>14261</v>
      </c>
      <c r="H157" s="288" t="s">
        <v>14262</v>
      </c>
      <c r="I157" s="288" t="s">
        <v>14263</v>
      </c>
      <c r="J157" s="288" t="s">
        <v>14264</v>
      </c>
      <c r="K157" s="282" t="s">
        <v>14265</v>
      </c>
      <c r="L157" s="294" t="s">
        <v>14266</v>
      </c>
      <c r="M157" s="288" t="s">
        <v>14267</v>
      </c>
    </row>
    <row r="158" spans="1:13" ht="28.8">
      <c r="A158" s="288" t="str">
        <f t="shared" si="10"/>
        <v>DeclarationB25</v>
      </c>
      <c r="B158" s="288" t="s">
        <v>991</v>
      </c>
      <c r="C158" s="288" t="s">
        <v>476</v>
      </c>
      <c r="D158" s="290" t="s">
        <v>12629</v>
      </c>
      <c r="E158" s="255" t="s">
        <v>13589</v>
      </c>
      <c r="F158" s="333" t="s">
        <v>14571</v>
      </c>
      <c r="G158" s="344" t="s">
        <v>14671</v>
      </c>
      <c r="H158" s="296" t="s">
        <v>14724</v>
      </c>
      <c r="I158" s="296" t="s">
        <v>14779</v>
      </c>
      <c r="J158" s="296" t="s">
        <v>15120</v>
      </c>
      <c r="K158" s="297" t="s">
        <v>14838</v>
      </c>
      <c r="L158" s="298" t="s">
        <v>13679</v>
      </c>
      <c r="M158" s="296" t="s">
        <v>14995</v>
      </c>
    </row>
    <row r="159" spans="1:13" ht="14.4">
      <c r="A159" s="288" t="str">
        <f t="shared" si="10"/>
        <v>DeclarationB31</v>
      </c>
      <c r="B159" s="288" t="s">
        <v>991</v>
      </c>
      <c r="C159" s="288" t="s">
        <v>477</v>
      </c>
      <c r="D159" s="290" t="s">
        <v>12659</v>
      </c>
      <c r="E159" s="255" t="s">
        <v>12660</v>
      </c>
      <c r="F159" s="333" t="s">
        <v>14572</v>
      </c>
      <c r="G159" s="343" t="s">
        <v>12661</v>
      </c>
      <c r="H159" s="296" t="s">
        <v>14725</v>
      </c>
      <c r="I159" s="285" t="s">
        <v>12662</v>
      </c>
      <c r="J159" s="285" t="s">
        <v>12663</v>
      </c>
      <c r="K159" s="297" t="s">
        <v>12664</v>
      </c>
      <c r="L159" s="298" t="s">
        <v>12665</v>
      </c>
      <c r="M159" s="285" t="s">
        <v>12666</v>
      </c>
    </row>
    <row r="160" spans="1:13" ht="50.4">
      <c r="A160" s="288" t="str">
        <f t="shared" si="10"/>
        <v>DeclarationB37</v>
      </c>
      <c r="B160" s="288" t="s">
        <v>991</v>
      </c>
      <c r="C160" s="288" t="s">
        <v>478</v>
      </c>
      <c r="D160" s="290" t="s">
        <v>2304</v>
      </c>
      <c r="E160" s="283" t="s">
        <v>13590</v>
      </c>
      <c r="F160" s="339" t="s">
        <v>14573</v>
      </c>
      <c r="G160" s="342" t="s">
        <v>2383</v>
      </c>
      <c r="H160" s="290" t="s">
        <v>2384</v>
      </c>
      <c r="I160" s="290" t="s">
        <v>2385</v>
      </c>
      <c r="J160" s="290" t="s">
        <v>15575</v>
      </c>
      <c r="K160" s="284" t="s">
        <v>2386</v>
      </c>
      <c r="L160" s="295" t="s">
        <v>2387</v>
      </c>
      <c r="M160" s="290" t="s">
        <v>2388</v>
      </c>
    </row>
    <row r="161" spans="1:13" ht="37.799999999999997">
      <c r="A161" s="288" t="str">
        <f t="shared" si="10"/>
        <v>DeclarationB43</v>
      </c>
      <c r="B161" s="288" t="s">
        <v>991</v>
      </c>
      <c r="C161" s="288" t="s">
        <v>479</v>
      </c>
      <c r="D161" s="290" t="s">
        <v>14146</v>
      </c>
      <c r="E161" s="290" t="s">
        <v>14388</v>
      </c>
      <c r="F161" s="339" t="s">
        <v>15292</v>
      </c>
      <c r="G161" s="342" t="s">
        <v>15486</v>
      </c>
      <c r="H161" s="290" t="s">
        <v>14726</v>
      </c>
      <c r="I161" s="290" t="s">
        <v>14780</v>
      </c>
      <c r="J161" s="290" t="s">
        <v>15576</v>
      </c>
      <c r="K161" s="290" t="s">
        <v>14839</v>
      </c>
      <c r="L161" s="290" t="s">
        <v>14898</v>
      </c>
      <c r="M161" s="290" t="s">
        <v>14996</v>
      </c>
    </row>
    <row r="162" spans="1:13" ht="37.799999999999997">
      <c r="A162" s="288" t="str">
        <f t="shared" si="10"/>
        <v>DeclarationB49</v>
      </c>
      <c r="B162" s="288" t="s">
        <v>991</v>
      </c>
      <c r="C162" s="288" t="s">
        <v>480</v>
      </c>
      <c r="D162" s="290" t="s">
        <v>14137</v>
      </c>
      <c r="E162" s="283" t="s">
        <v>14138</v>
      </c>
      <c r="F162" s="339" t="s">
        <v>14574</v>
      </c>
      <c r="G162" s="342" t="s">
        <v>14139</v>
      </c>
      <c r="H162" s="290" t="s">
        <v>14140</v>
      </c>
      <c r="I162" s="290" t="s">
        <v>14141</v>
      </c>
      <c r="J162" s="290" t="s">
        <v>14142</v>
      </c>
      <c r="K162" s="284" t="s">
        <v>14143</v>
      </c>
      <c r="L162" s="295" t="s">
        <v>14144</v>
      </c>
      <c r="M162" s="290" t="s">
        <v>14145</v>
      </c>
    </row>
    <row r="163" spans="1:13" ht="28.8">
      <c r="A163" s="288" t="str">
        <f t="shared" si="10"/>
        <v>DeclarationB55</v>
      </c>
      <c r="B163" s="288" t="s">
        <v>991</v>
      </c>
      <c r="C163" s="288" t="s">
        <v>481</v>
      </c>
      <c r="D163" s="290" t="s">
        <v>14147</v>
      </c>
      <c r="E163" s="321" t="s">
        <v>14389</v>
      </c>
      <c r="F163" s="336" t="s">
        <v>14148</v>
      </c>
      <c r="G163" s="343" t="s">
        <v>14149</v>
      </c>
      <c r="H163" s="285" t="s">
        <v>14150</v>
      </c>
      <c r="I163" s="285" t="s">
        <v>14151</v>
      </c>
      <c r="J163" s="285" t="s">
        <v>14152</v>
      </c>
      <c r="K163" s="297" t="s">
        <v>14153</v>
      </c>
      <c r="L163" s="298" t="s">
        <v>14154</v>
      </c>
      <c r="M163" s="285" t="s">
        <v>14155</v>
      </c>
    </row>
    <row r="164" spans="1:13" ht="28.8">
      <c r="A164" s="288" t="str">
        <f t="shared" si="10"/>
        <v>DeclarationB61</v>
      </c>
      <c r="B164" s="288" t="s">
        <v>991</v>
      </c>
      <c r="C164" s="288" t="s">
        <v>999</v>
      </c>
      <c r="D164" s="290" t="s">
        <v>14156</v>
      </c>
      <c r="E164" s="319" t="s">
        <v>14157</v>
      </c>
      <c r="F164" s="339" t="s">
        <v>14575</v>
      </c>
      <c r="G164" s="342" t="s">
        <v>14158</v>
      </c>
      <c r="H164" s="290" t="s">
        <v>14159</v>
      </c>
      <c r="I164" s="290" t="s">
        <v>14160</v>
      </c>
      <c r="J164" s="290" t="s">
        <v>14161</v>
      </c>
      <c r="K164" s="284" t="s">
        <v>14162</v>
      </c>
      <c r="L164" s="295" t="s">
        <v>14163</v>
      </c>
      <c r="M164" s="290" t="s">
        <v>14164</v>
      </c>
    </row>
    <row r="165" spans="1:13" ht="37.799999999999997">
      <c r="A165" s="288" t="str">
        <f t="shared" si="10"/>
        <v>DeclarationB67</v>
      </c>
      <c r="B165" s="288" t="s">
        <v>991</v>
      </c>
      <c r="C165" s="288" t="s">
        <v>1249</v>
      </c>
      <c r="D165" s="290" t="s">
        <v>14165</v>
      </c>
      <c r="E165" s="319" t="s">
        <v>14166</v>
      </c>
      <c r="F165" s="339" t="s">
        <v>14576</v>
      </c>
      <c r="G165" s="342" t="s">
        <v>15487</v>
      </c>
      <c r="H165" s="290" t="s">
        <v>14167</v>
      </c>
      <c r="I165" s="290" t="s">
        <v>14168</v>
      </c>
      <c r="J165" s="290" t="s">
        <v>14169</v>
      </c>
      <c r="K165" s="284" t="s">
        <v>14170</v>
      </c>
      <c r="L165" s="295" t="s">
        <v>14171</v>
      </c>
      <c r="M165" s="290" t="s">
        <v>14172</v>
      </c>
    </row>
    <row r="166" spans="1:13">
      <c r="A166" s="288" t="str">
        <f t="shared" si="10"/>
        <v>DeclarationB73</v>
      </c>
      <c r="B166" s="288" t="s">
        <v>991</v>
      </c>
      <c r="C166" s="288" t="s">
        <v>1259</v>
      </c>
      <c r="D166" s="288" t="s">
        <v>1037</v>
      </c>
      <c r="E166" s="320" t="s">
        <v>13591</v>
      </c>
      <c r="F166" s="338" t="s">
        <v>14577</v>
      </c>
      <c r="G166" s="291" t="s">
        <v>919</v>
      </c>
      <c r="H166" s="288" t="s">
        <v>1237</v>
      </c>
      <c r="I166" s="288" t="s">
        <v>232</v>
      </c>
      <c r="J166" s="288" t="s">
        <v>1245</v>
      </c>
      <c r="K166" s="282" t="s">
        <v>268</v>
      </c>
      <c r="L166" s="294" t="s">
        <v>620</v>
      </c>
      <c r="M166" s="288" t="s">
        <v>14997</v>
      </c>
    </row>
    <row r="167" spans="1:13" ht="27.6">
      <c r="A167" s="288" t="str">
        <f t="shared" si="10"/>
        <v>DeclarationB75</v>
      </c>
      <c r="B167" s="288" t="s">
        <v>991</v>
      </c>
      <c r="C167" s="288" t="s">
        <v>1260</v>
      </c>
      <c r="D167" s="288" t="s">
        <v>15121</v>
      </c>
      <c r="E167" s="288" t="s">
        <v>14390</v>
      </c>
      <c r="F167" s="338" t="s">
        <v>14578</v>
      </c>
      <c r="G167" s="291" t="s">
        <v>15488</v>
      </c>
      <c r="H167" s="288" t="s">
        <v>14727</v>
      </c>
      <c r="I167" s="288" t="s">
        <v>14781</v>
      </c>
      <c r="J167" s="288" t="s">
        <v>15577</v>
      </c>
      <c r="K167" s="288" t="s">
        <v>14840</v>
      </c>
      <c r="L167" s="288" t="s">
        <v>14899</v>
      </c>
      <c r="M167" s="288" t="s">
        <v>14998</v>
      </c>
    </row>
    <row r="168" spans="1:13" ht="69">
      <c r="A168" s="288" t="str">
        <f t="shared" si="10"/>
        <v>DeclarationB77</v>
      </c>
      <c r="B168" s="288" t="s">
        <v>991</v>
      </c>
      <c r="C168" s="288" t="s">
        <v>1261</v>
      </c>
      <c r="D168" s="288" t="s">
        <v>15122</v>
      </c>
      <c r="E168" s="288" t="s">
        <v>14391</v>
      </c>
      <c r="F168" s="338" t="s">
        <v>14579</v>
      </c>
      <c r="G168" s="291" t="s">
        <v>14672</v>
      </c>
      <c r="H168" s="288" t="s">
        <v>14728</v>
      </c>
      <c r="I168" s="288" t="s">
        <v>14782</v>
      </c>
      <c r="J168" s="288" t="s">
        <v>15578</v>
      </c>
      <c r="K168" s="288" t="s">
        <v>14841</v>
      </c>
      <c r="L168" s="288" t="s">
        <v>14900</v>
      </c>
      <c r="M168" s="288" t="s">
        <v>14999</v>
      </c>
    </row>
    <row r="169" spans="1:13" ht="50.4">
      <c r="A169" s="288" t="str">
        <f t="shared" ref="A169" si="11">B169&amp;C169</f>
        <v>DeclarationB79</v>
      </c>
      <c r="B169" s="288" t="s">
        <v>991</v>
      </c>
      <c r="C169" s="288" t="s">
        <v>482</v>
      </c>
      <c r="D169" s="290" t="s">
        <v>14174</v>
      </c>
      <c r="E169" s="319" t="s">
        <v>14175</v>
      </c>
      <c r="F169" s="339" t="s">
        <v>15293</v>
      </c>
      <c r="G169" s="342" t="s">
        <v>14176</v>
      </c>
      <c r="H169" s="290" t="s">
        <v>14177</v>
      </c>
      <c r="I169" s="290" t="s">
        <v>14178</v>
      </c>
      <c r="J169" s="290" t="s">
        <v>15579</v>
      </c>
      <c r="K169" s="284" t="s">
        <v>14179</v>
      </c>
      <c r="L169" s="295" t="s">
        <v>14180</v>
      </c>
      <c r="M169" s="290" t="s">
        <v>14181</v>
      </c>
    </row>
    <row r="170" spans="1:13" ht="37.799999999999997">
      <c r="A170" s="288" t="str">
        <f t="shared" ref="A170:A205" si="12">B170&amp;C170</f>
        <v>DeclarationB81</v>
      </c>
      <c r="B170" s="288" t="s">
        <v>991</v>
      </c>
      <c r="C170" s="288" t="s">
        <v>483</v>
      </c>
      <c r="D170" s="290" t="s">
        <v>15147</v>
      </c>
      <c r="E170" s="290" t="s">
        <v>14392</v>
      </c>
      <c r="F170" s="339" t="s">
        <v>15294</v>
      </c>
      <c r="G170" s="342" t="s">
        <v>14673</v>
      </c>
      <c r="H170" s="290" t="s">
        <v>14729</v>
      </c>
      <c r="I170" s="290" t="s">
        <v>14783</v>
      </c>
      <c r="J170" s="290" t="s">
        <v>15146</v>
      </c>
      <c r="K170" s="290" t="s">
        <v>14842</v>
      </c>
      <c r="L170" s="290" t="s">
        <v>14901</v>
      </c>
      <c r="M170" s="290" t="s">
        <v>15000</v>
      </c>
    </row>
    <row r="171" spans="1:13" ht="28.8">
      <c r="A171" s="288" t="str">
        <f t="shared" si="12"/>
        <v>DeclarationB83</v>
      </c>
      <c r="B171" s="288" t="s">
        <v>991</v>
      </c>
      <c r="C171" s="288" t="s">
        <v>484</v>
      </c>
      <c r="D171" s="290" t="s">
        <v>14182</v>
      </c>
      <c r="E171" s="321" t="s">
        <v>14183</v>
      </c>
      <c r="F171" s="333" t="s">
        <v>14580</v>
      </c>
      <c r="G171" s="343" t="s">
        <v>14184</v>
      </c>
      <c r="H171" s="285" t="s">
        <v>14185</v>
      </c>
      <c r="I171" s="285" t="s">
        <v>14186</v>
      </c>
      <c r="J171" s="285" t="s">
        <v>14187</v>
      </c>
      <c r="K171" s="297" t="s">
        <v>14188</v>
      </c>
      <c r="L171" s="298" t="s">
        <v>14189</v>
      </c>
      <c r="M171" s="285" t="s">
        <v>14190</v>
      </c>
    </row>
    <row r="172" spans="1:13" ht="41.4">
      <c r="A172" s="288" t="str">
        <f t="shared" si="12"/>
        <v>DeclarationB85</v>
      </c>
      <c r="B172" s="288" t="s">
        <v>991</v>
      </c>
      <c r="C172" s="288" t="s">
        <v>485</v>
      </c>
      <c r="D172" s="288" t="s">
        <v>14191</v>
      </c>
      <c r="E172" s="320" t="s">
        <v>14192</v>
      </c>
      <c r="F172" s="338" t="s">
        <v>15295</v>
      </c>
      <c r="G172" s="291" t="s">
        <v>14193</v>
      </c>
      <c r="H172" s="288" t="s">
        <v>14194</v>
      </c>
      <c r="I172" s="288" t="s">
        <v>14195</v>
      </c>
      <c r="J172" s="288" t="s">
        <v>15580</v>
      </c>
      <c r="K172" s="282" t="s">
        <v>14196</v>
      </c>
      <c r="L172" s="294" t="s">
        <v>14197</v>
      </c>
      <c r="M172" s="288" t="s">
        <v>14198</v>
      </c>
    </row>
    <row r="173" spans="1:13" ht="27.6">
      <c r="A173" s="288" t="str">
        <f t="shared" si="12"/>
        <v>DeclarationB87</v>
      </c>
      <c r="B173" s="288" t="s">
        <v>991</v>
      </c>
      <c r="C173" s="288" t="s">
        <v>14135</v>
      </c>
      <c r="D173" s="288" t="s">
        <v>14199</v>
      </c>
      <c r="E173" s="320" t="s">
        <v>14200</v>
      </c>
      <c r="F173" s="338" t="s">
        <v>14581</v>
      </c>
      <c r="G173" s="291" t="s">
        <v>14201</v>
      </c>
      <c r="H173" s="288" t="s">
        <v>14202</v>
      </c>
      <c r="I173" s="288" t="s">
        <v>14203</v>
      </c>
      <c r="J173" s="288" t="s">
        <v>14204</v>
      </c>
      <c r="K173" s="282" t="s">
        <v>14205</v>
      </c>
      <c r="L173" s="294" t="s">
        <v>14206</v>
      </c>
      <c r="M173" s="288" t="s">
        <v>14207</v>
      </c>
    </row>
    <row r="174" spans="1:13" ht="28.8">
      <c r="A174" s="288" t="str">
        <f t="shared" si="12"/>
        <v>DeclarationB89</v>
      </c>
      <c r="B174" s="288" t="s">
        <v>991</v>
      </c>
      <c r="C174" s="288" t="s">
        <v>14136</v>
      </c>
      <c r="D174" s="288" t="s">
        <v>14292</v>
      </c>
      <c r="E174" s="325" t="s">
        <v>15251</v>
      </c>
      <c r="F174" s="333" t="s">
        <v>15296</v>
      </c>
      <c r="G174" s="325" t="s">
        <v>15252</v>
      </c>
      <c r="H174" s="325" t="s">
        <v>15253</v>
      </c>
      <c r="I174" s="325" t="s">
        <v>15254</v>
      </c>
      <c r="J174" s="325" t="s">
        <v>15255</v>
      </c>
      <c r="K174" s="325" t="s">
        <v>15256</v>
      </c>
      <c r="L174" s="325" t="s">
        <v>15257</v>
      </c>
      <c r="M174" s="325" t="s">
        <v>15258</v>
      </c>
    </row>
    <row r="175" spans="1:13">
      <c r="A175" s="288" t="str">
        <f t="shared" si="12"/>
        <v>DeclarationD25</v>
      </c>
      <c r="B175" s="288" t="s">
        <v>991</v>
      </c>
      <c r="C175" s="288" t="s">
        <v>523</v>
      </c>
      <c r="D175" s="288" t="s">
        <v>836</v>
      </c>
      <c r="E175" s="254" t="s">
        <v>862</v>
      </c>
      <c r="F175" s="338" t="s">
        <v>862</v>
      </c>
      <c r="G175" s="291" t="s">
        <v>1084</v>
      </c>
      <c r="H175" s="288" t="s">
        <v>1238</v>
      </c>
      <c r="I175" s="288" t="s">
        <v>920</v>
      </c>
      <c r="J175" s="288" t="s">
        <v>921</v>
      </c>
      <c r="K175" s="282" t="s">
        <v>922</v>
      </c>
      <c r="L175" s="294" t="s">
        <v>450</v>
      </c>
      <c r="M175" s="288" t="s">
        <v>15001</v>
      </c>
    </row>
    <row r="176" spans="1:13">
      <c r="A176" s="288" t="str">
        <f t="shared" si="12"/>
        <v>DeclarationB74</v>
      </c>
      <c r="B176" s="288" t="s">
        <v>991</v>
      </c>
      <c r="C176" s="288" t="s">
        <v>14134</v>
      </c>
      <c r="D176" s="288" t="s">
        <v>1038</v>
      </c>
      <c r="E176" s="254" t="s">
        <v>932</v>
      </c>
      <c r="F176" s="338" t="s">
        <v>14582</v>
      </c>
      <c r="G176" s="291" t="s">
        <v>933</v>
      </c>
      <c r="H176" s="288" t="s">
        <v>1038</v>
      </c>
      <c r="I176" s="288" t="s">
        <v>934</v>
      </c>
      <c r="J176" s="288" t="s">
        <v>935</v>
      </c>
      <c r="K176" s="282" t="s">
        <v>931</v>
      </c>
      <c r="L176" s="294" t="s">
        <v>449</v>
      </c>
      <c r="M176" s="288" t="s">
        <v>15002</v>
      </c>
    </row>
    <row r="177" spans="1:13">
      <c r="A177" s="288" t="str">
        <f t="shared" si="12"/>
        <v>DeclarationG25</v>
      </c>
      <c r="B177" s="288" t="s">
        <v>991</v>
      </c>
      <c r="C177" s="288" t="s">
        <v>524</v>
      </c>
      <c r="D177" s="288" t="s">
        <v>835</v>
      </c>
      <c r="E177" s="254" t="s">
        <v>863</v>
      </c>
      <c r="F177" s="338" t="s">
        <v>14583</v>
      </c>
      <c r="G177" s="291" t="s">
        <v>923</v>
      </c>
      <c r="H177" s="288" t="s">
        <v>924</v>
      </c>
      <c r="I177" s="288" t="s">
        <v>925</v>
      </c>
      <c r="J177" s="288" t="s">
        <v>1027</v>
      </c>
      <c r="K177" s="282" t="s">
        <v>926</v>
      </c>
      <c r="L177" s="294" t="s">
        <v>451</v>
      </c>
      <c r="M177" s="288" t="s">
        <v>15003</v>
      </c>
    </row>
    <row r="178" spans="1:13">
      <c r="A178" s="288" t="str">
        <f t="shared" si="12"/>
        <v>DeclarationB26</v>
      </c>
      <c r="B178" s="288" t="s">
        <v>991</v>
      </c>
      <c r="C178" s="288" t="s">
        <v>515</v>
      </c>
      <c r="D178" s="288" t="s">
        <v>1262</v>
      </c>
      <c r="E178" s="254" t="s">
        <v>13592</v>
      </c>
      <c r="F178" s="338" t="s">
        <v>14584</v>
      </c>
      <c r="G178" s="291" t="s">
        <v>1263</v>
      </c>
      <c r="H178" s="288" t="s">
        <v>1264</v>
      </c>
      <c r="I178" s="288" t="s">
        <v>233</v>
      </c>
      <c r="J178" s="288" t="s">
        <v>1265</v>
      </c>
      <c r="K178" s="282" t="s">
        <v>1266</v>
      </c>
      <c r="L178" s="294" t="s">
        <v>1266</v>
      </c>
      <c r="M178" s="288" t="s">
        <v>15004</v>
      </c>
    </row>
    <row r="179" spans="1:13">
      <c r="A179" s="288" t="str">
        <f t="shared" si="12"/>
        <v>DeclarationB27</v>
      </c>
      <c r="B179" s="288" t="s">
        <v>991</v>
      </c>
      <c r="C179" s="288" t="s">
        <v>516</v>
      </c>
      <c r="D179" s="288" t="s">
        <v>1267</v>
      </c>
      <c r="E179" s="254" t="s">
        <v>13593</v>
      </c>
      <c r="F179" s="338" t="s">
        <v>14585</v>
      </c>
      <c r="G179" s="291" t="s">
        <v>1268</v>
      </c>
      <c r="H179" s="288" t="s">
        <v>1269</v>
      </c>
      <c r="I179" s="288" t="s">
        <v>234</v>
      </c>
      <c r="J179" s="288" t="s">
        <v>1270</v>
      </c>
      <c r="K179" s="282" t="s">
        <v>1271</v>
      </c>
      <c r="L179" s="294" t="s">
        <v>1272</v>
      </c>
      <c r="M179" s="288" t="s">
        <v>15005</v>
      </c>
    </row>
    <row r="180" spans="1:13">
      <c r="A180" s="288" t="str">
        <f t="shared" si="12"/>
        <v>DeclarationB28</v>
      </c>
      <c r="B180" s="288" t="s">
        <v>991</v>
      </c>
      <c r="C180" s="288" t="s">
        <v>517</v>
      </c>
      <c r="D180" s="288" t="s">
        <v>1273</v>
      </c>
      <c r="E180" s="254" t="s">
        <v>1274</v>
      </c>
      <c r="F180" s="338" t="s">
        <v>1274</v>
      </c>
      <c r="G180" s="291" t="s">
        <v>1275</v>
      </c>
      <c r="H180" s="288" t="s">
        <v>1276</v>
      </c>
      <c r="I180" s="288" t="s">
        <v>235</v>
      </c>
      <c r="J180" s="288" t="s">
        <v>1273</v>
      </c>
      <c r="K180" s="282" t="s">
        <v>1277</v>
      </c>
      <c r="L180" s="294" t="s">
        <v>1277</v>
      </c>
      <c r="M180" s="288" t="s">
        <v>15006</v>
      </c>
    </row>
    <row r="181" spans="1:13">
      <c r="A181" s="288" t="str">
        <f t="shared" si="12"/>
        <v>DeclarationB29</v>
      </c>
      <c r="B181" s="288" t="s">
        <v>991</v>
      </c>
      <c r="C181" s="288" t="s">
        <v>518</v>
      </c>
      <c r="D181" s="288" t="s">
        <v>1278</v>
      </c>
      <c r="E181" s="283" t="s">
        <v>13594</v>
      </c>
      <c r="F181" s="338" t="s">
        <v>14586</v>
      </c>
      <c r="G181" s="291" t="s">
        <v>1279</v>
      </c>
      <c r="H181" s="288" t="s">
        <v>1280</v>
      </c>
      <c r="I181" s="288" t="s">
        <v>236</v>
      </c>
      <c r="J181" s="288" t="s">
        <v>1281</v>
      </c>
      <c r="K181" s="282" t="s">
        <v>1282</v>
      </c>
      <c r="L181" s="294" t="s">
        <v>1282</v>
      </c>
      <c r="M181" s="288" t="s">
        <v>15007</v>
      </c>
    </row>
    <row r="182" spans="1:13">
      <c r="A182" s="288" t="str">
        <f t="shared" si="12"/>
        <v>DeclarationB38</v>
      </c>
      <c r="B182" s="288" t="s">
        <v>991</v>
      </c>
      <c r="C182" s="288" t="s">
        <v>519</v>
      </c>
      <c r="D182" s="288" t="s">
        <v>1262</v>
      </c>
      <c r="E182" s="283" t="s">
        <v>13592</v>
      </c>
      <c r="F182" s="338" t="s">
        <v>14584</v>
      </c>
      <c r="G182" s="291" t="s">
        <v>1263</v>
      </c>
      <c r="H182" s="288" t="s">
        <v>1264</v>
      </c>
      <c r="I182" s="288" t="s">
        <v>233</v>
      </c>
      <c r="J182" s="288" t="s">
        <v>1265</v>
      </c>
      <c r="K182" s="282" t="s">
        <v>1266</v>
      </c>
      <c r="L182" s="294" t="s">
        <v>1266</v>
      </c>
      <c r="M182" s="288" t="s">
        <v>15004</v>
      </c>
    </row>
    <row r="183" spans="1:13">
      <c r="A183" s="288" t="str">
        <f t="shared" si="12"/>
        <v>DeclarationB39</v>
      </c>
      <c r="B183" s="288" t="s">
        <v>991</v>
      </c>
      <c r="C183" s="288" t="s">
        <v>520</v>
      </c>
      <c r="D183" s="288" t="s">
        <v>1267</v>
      </c>
      <c r="E183" s="283" t="s">
        <v>13593</v>
      </c>
      <c r="F183" s="338" t="s">
        <v>14585</v>
      </c>
      <c r="G183" s="291" t="s">
        <v>1268</v>
      </c>
      <c r="H183" s="288" t="s">
        <v>1269</v>
      </c>
      <c r="I183" s="288" t="s">
        <v>234</v>
      </c>
      <c r="J183" s="288" t="s">
        <v>1270</v>
      </c>
      <c r="K183" s="282" t="s">
        <v>1271</v>
      </c>
      <c r="L183" s="294" t="s">
        <v>1272</v>
      </c>
      <c r="M183" s="288" t="s">
        <v>15005</v>
      </c>
    </row>
    <row r="184" spans="1:13">
      <c r="A184" s="288" t="str">
        <f t="shared" si="12"/>
        <v>DeclarationB40</v>
      </c>
      <c r="B184" s="288" t="s">
        <v>991</v>
      </c>
      <c r="C184" s="288" t="s">
        <v>521</v>
      </c>
      <c r="D184" s="288" t="s">
        <v>1273</v>
      </c>
      <c r="E184" s="283" t="s">
        <v>1274</v>
      </c>
      <c r="F184" s="338" t="s">
        <v>1274</v>
      </c>
      <c r="G184" s="291" t="s">
        <v>1275</v>
      </c>
      <c r="H184" s="288" t="s">
        <v>1276</v>
      </c>
      <c r="I184" s="288" t="s">
        <v>235</v>
      </c>
      <c r="J184" s="288" t="s">
        <v>1273</v>
      </c>
      <c r="K184" s="282" t="s">
        <v>1277</v>
      </c>
      <c r="L184" s="294" t="s">
        <v>1277</v>
      </c>
      <c r="M184" s="288" t="s">
        <v>15006</v>
      </c>
    </row>
    <row r="185" spans="1:13">
      <c r="A185" s="288" t="str">
        <f t="shared" si="12"/>
        <v>DeclarationB41</v>
      </c>
      <c r="B185" s="288" t="s">
        <v>991</v>
      </c>
      <c r="C185" s="288" t="s">
        <v>522</v>
      </c>
      <c r="D185" s="288" t="s">
        <v>1278</v>
      </c>
      <c r="E185" s="283" t="s">
        <v>13594</v>
      </c>
      <c r="F185" s="338" t="s">
        <v>14586</v>
      </c>
      <c r="G185" s="291" t="s">
        <v>1279</v>
      </c>
      <c r="H185" s="288" t="s">
        <v>1280</v>
      </c>
      <c r="I185" s="288" t="s">
        <v>236</v>
      </c>
      <c r="J185" s="288" t="s">
        <v>1281</v>
      </c>
      <c r="K185" s="282" t="s">
        <v>1282</v>
      </c>
      <c r="L185" s="294" t="s">
        <v>1282</v>
      </c>
      <c r="M185" s="288" t="s">
        <v>15007</v>
      </c>
    </row>
    <row r="186" spans="1:13">
      <c r="A186" s="288" t="str">
        <f t="shared" si="12"/>
        <v>DeclarationB44</v>
      </c>
      <c r="B186" s="288" t="s">
        <v>991</v>
      </c>
      <c r="C186" s="288" t="s">
        <v>14273</v>
      </c>
      <c r="D186" s="288" t="s">
        <v>1262</v>
      </c>
      <c r="E186" s="283" t="s">
        <v>13592</v>
      </c>
      <c r="F186" s="338" t="s">
        <v>14584</v>
      </c>
      <c r="G186" s="291" t="s">
        <v>1263</v>
      </c>
      <c r="H186" s="288" t="s">
        <v>1264</v>
      </c>
      <c r="I186" s="288" t="s">
        <v>233</v>
      </c>
      <c r="J186" s="288" t="s">
        <v>1265</v>
      </c>
      <c r="K186" s="282" t="s">
        <v>1266</v>
      </c>
      <c r="L186" s="294" t="s">
        <v>1266</v>
      </c>
      <c r="M186" s="288" t="s">
        <v>15004</v>
      </c>
    </row>
    <row r="187" spans="1:13">
      <c r="A187" s="288" t="str">
        <f t="shared" si="12"/>
        <v>DeclarationB45</v>
      </c>
      <c r="B187" s="288" t="s">
        <v>991</v>
      </c>
      <c r="C187" s="288" t="s">
        <v>14274</v>
      </c>
      <c r="D187" s="288" t="s">
        <v>1267</v>
      </c>
      <c r="E187" s="283" t="s">
        <v>13593</v>
      </c>
      <c r="F187" s="338" t="s">
        <v>14585</v>
      </c>
      <c r="G187" s="291" t="s">
        <v>1268</v>
      </c>
      <c r="H187" s="288" t="s">
        <v>1269</v>
      </c>
      <c r="I187" s="288" t="s">
        <v>234</v>
      </c>
      <c r="J187" s="288" t="s">
        <v>1270</v>
      </c>
      <c r="K187" s="282" t="s">
        <v>1271</v>
      </c>
      <c r="L187" s="294" t="s">
        <v>1272</v>
      </c>
      <c r="M187" s="288" t="s">
        <v>15005</v>
      </c>
    </row>
    <row r="188" spans="1:13">
      <c r="A188" s="288" t="str">
        <f t="shared" si="12"/>
        <v>DeclarationB46</v>
      </c>
      <c r="B188" s="288" t="s">
        <v>991</v>
      </c>
      <c r="C188" s="288" t="s">
        <v>14275</v>
      </c>
      <c r="D188" s="288" t="s">
        <v>1273</v>
      </c>
      <c r="E188" s="283" t="s">
        <v>1274</v>
      </c>
      <c r="F188" s="338" t="s">
        <v>1274</v>
      </c>
      <c r="G188" s="291" t="s">
        <v>1275</v>
      </c>
      <c r="H188" s="288" t="s">
        <v>1276</v>
      </c>
      <c r="I188" s="288" t="s">
        <v>235</v>
      </c>
      <c r="J188" s="288" t="s">
        <v>1273</v>
      </c>
      <c r="K188" s="282" t="s">
        <v>1277</v>
      </c>
      <c r="L188" s="294" t="s">
        <v>1277</v>
      </c>
      <c r="M188" s="288" t="s">
        <v>15006</v>
      </c>
    </row>
    <row r="189" spans="1:13">
      <c r="A189" s="288" t="str">
        <f t="shared" si="12"/>
        <v>DeclarationB47</v>
      </c>
      <c r="B189" s="288" t="s">
        <v>991</v>
      </c>
      <c r="C189" s="288" t="s">
        <v>14276</v>
      </c>
      <c r="D189" s="288" t="s">
        <v>1278</v>
      </c>
      <c r="E189" s="283" t="s">
        <v>13594</v>
      </c>
      <c r="F189" s="338" t="s">
        <v>14586</v>
      </c>
      <c r="G189" s="291" t="s">
        <v>1279</v>
      </c>
      <c r="H189" s="288" t="s">
        <v>1280</v>
      </c>
      <c r="I189" s="288" t="s">
        <v>236</v>
      </c>
      <c r="J189" s="288" t="s">
        <v>1281</v>
      </c>
      <c r="K189" s="282" t="s">
        <v>1282</v>
      </c>
      <c r="L189" s="294" t="s">
        <v>1282</v>
      </c>
      <c r="M189" s="288" t="s">
        <v>15007</v>
      </c>
    </row>
    <row r="190" spans="1:13">
      <c r="A190" s="288" t="str">
        <f t="shared" si="12"/>
        <v>DeclarationAth</v>
      </c>
      <c r="B190" s="288" t="s">
        <v>991</v>
      </c>
      <c r="C190" s="288" t="s">
        <v>1283</v>
      </c>
      <c r="D190" s="288" t="s">
        <v>833</v>
      </c>
      <c r="E190" s="254" t="s">
        <v>13595</v>
      </c>
      <c r="F190" s="338" t="s">
        <v>14587</v>
      </c>
      <c r="G190" s="291" t="s">
        <v>927</v>
      </c>
      <c r="H190" s="288" t="s">
        <v>928</v>
      </c>
      <c r="I190" s="288" t="s">
        <v>929</v>
      </c>
      <c r="J190" s="288" t="s">
        <v>1246</v>
      </c>
      <c r="K190" s="282" t="s">
        <v>930</v>
      </c>
      <c r="L190" s="294" t="s">
        <v>452</v>
      </c>
      <c r="M190" s="288" t="s">
        <v>15008</v>
      </c>
    </row>
    <row r="191" spans="1:13">
      <c r="A191" s="288" t="str">
        <f t="shared" si="12"/>
        <v>DeclarationB96</v>
      </c>
      <c r="B191" s="288" t="s">
        <v>991</v>
      </c>
      <c r="C191" s="288" t="s">
        <v>12607</v>
      </c>
      <c r="D191" s="288" t="s">
        <v>488</v>
      </c>
      <c r="E191" s="254" t="s">
        <v>13596</v>
      </c>
      <c r="F191" s="338" t="s">
        <v>14588</v>
      </c>
      <c r="G191" s="291" t="s">
        <v>549</v>
      </c>
      <c r="H191" s="288" t="s">
        <v>378</v>
      </c>
      <c r="I191" s="288" t="s">
        <v>237</v>
      </c>
      <c r="J191" s="288" t="s">
        <v>16</v>
      </c>
      <c r="K191" s="282" t="s">
        <v>269</v>
      </c>
      <c r="L191" s="294" t="s">
        <v>179</v>
      </c>
      <c r="M191" s="288" t="s">
        <v>15009</v>
      </c>
    </row>
    <row r="192" spans="1:13">
      <c r="A192" s="288" t="str">
        <f t="shared" si="12"/>
        <v>DeclarationB97</v>
      </c>
      <c r="B192" s="288" t="s">
        <v>991</v>
      </c>
      <c r="C192" s="288" t="s">
        <v>12608</v>
      </c>
      <c r="D192" s="288" t="s">
        <v>489</v>
      </c>
      <c r="E192" s="254" t="s">
        <v>13597</v>
      </c>
      <c r="F192" s="338" t="s">
        <v>14589</v>
      </c>
      <c r="G192" s="291" t="s">
        <v>550</v>
      </c>
      <c r="H192" s="288" t="s">
        <v>489</v>
      </c>
      <c r="I192" s="288" t="s">
        <v>238</v>
      </c>
      <c r="J192" s="288" t="s">
        <v>17</v>
      </c>
      <c r="K192" s="282" t="s">
        <v>489</v>
      </c>
      <c r="L192" s="294" t="s">
        <v>180</v>
      </c>
      <c r="M192" s="288" t="s">
        <v>15010</v>
      </c>
    </row>
    <row r="193" spans="1:13">
      <c r="A193" s="288" t="str">
        <f t="shared" si="12"/>
        <v>DeclarationB98</v>
      </c>
      <c r="B193" s="288" t="s">
        <v>991</v>
      </c>
      <c r="C193" s="288" t="s">
        <v>12609</v>
      </c>
      <c r="D193" s="288" t="s">
        <v>490</v>
      </c>
      <c r="E193" s="283" t="s">
        <v>13598</v>
      </c>
      <c r="F193" s="338" t="s">
        <v>14590</v>
      </c>
      <c r="G193" s="291" t="s">
        <v>551</v>
      </c>
      <c r="H193" s="288" t="s">
        <v>379</v>
      </c>
      <c r="I193" s="288" t="s">
        <v>239</v>
      </c>
      <c r="J193" s="288" t="s">
        <v>18</v>
      </c>
      <c r="K193" s="282" t="s">
        <v>270</v>
      </c>
      <c r="L193" s="294" t="s">
        <v>181</v>
      </c>
      <c r="M193" s="288" t="s">
        <v>15011</v>
      </c>
    </row>
    <row r="194" spans="1:13" ht="14.4">
      <c r="A194" s="288" t="str">
        <f t="shared" si="12"/>
        <v>DeclarationB99</v>
      </c>
      <c r="B194" s="288" t="s">
        <v>991</v>
      </c>
      <c r="C194" s="288" t="s">
        <v>12610</v>
      </c>
      <c r="D194" s="253">
        <v>1</v>
      </c>
      <c r="E194" s="256">
        <v>1</v>
      </c>
      <c r="F194" s="332">
        <v>1</v>
      </c>
      <c r="G194" s="350">
        <v>1</v>
      </c>
      <c r="H194" s="253" t="s">
        <v>12656</v>
      </c>
      <c r="I194" s="242">
        <v>1</v>
      </c>
      <c r="J194" s="242">
        <v>1</v>
      </c>
      <c r="K194" s="251">
        <v>1</v>
      </c>
      <c r="L194" s="301">
        <v>1</v>
      </c>
      <c r="M194" s="242" t="s">
        <v>12657</v>
      </c>
    </row>
    <row r="195" spans="1:13" ht="14.4">
      <c r="A195" s="288" t="str">
        <f t="shared" si="12"/>
        <v>DeclarationB100</v>
      </c>
      <c r="B195" s="288" t="s">
        <v>991</v>
      </c>
      <c r="C195" s="288" t="s">
        <v>12611</v>
      </c>
      <c r="D195" s="243" t="s">
        <v>2511</v>
      </c>
      <c r="E195" s="283" t="s">
        <v>13599</v>
      </c>
      <c r="F195" s="334" t="s">
        <v>14591</v>
      </c>
      <c r="G195" s="351" t="s">
        <v>14674</v>
      </c>
      <c r="H195" s="303" t="s">
        <v>12649</v>
      </c>
      <c r="I195" s="302" t="s">
        <v>14784</v>
      </c>
      <c r="J195" s="302" t="s">
        <v>15123</v>
      </c>
      <c r="K195" s="304" t="s">
        <v>14843</v>
      </c>
      <c r="L195" s="305" t="s">
        <v>12655</v>
      </c>
      <c r="M195" s="303" t="s">
        <v>12654</v>
      </c>
    </row>
    <row r="196" spans="1:13" ht="14.4">
      <c r="A196" s="288" t="str">
        <f t="shared" si="12"/>
        <v>DeclarationB101</v>
      </c>
      <c r="B196" s="288" t="s">
        <v>991</v>
      </c>
      <c r="C196" s="288" t="s">
        <v>12612</v>
      </c>
      <c r="D196" s="243" t="s">
        <v>2512</v>
      </c>
      <c r="E196" s="283" t="s">
        <v>13600</v>
      </c>
      <c r="F196" s="334" t="s">
        <v>14592</v>
      </c>
      <c r="G196" s="351" t="s">
        <v>14675</v>
      </c>
      <c r="H196" s="303" t="s">
        <v>12650</v>
      </c>
      <c r="I196" s="302" t="s">
        <v>14785</v>
      </c>
      <c r="J196" s="302" t="s">
        <v>15124</v>
      </c>
      <c r="K196" s="304" t="s">
        <v>14844</v>
      </c>
      <c r="L196" s="306" t="s">
        <v>13680</v>
      </c>
      <c r="M196" s="302" t="s">
        <v>15012</v>
      </c>
    </row>
    <row r="197" spans="1:13" ht="14.4">
      <c r="A197" s="288" t="str">
        <f t="shared" si="12"/>
        <v>DeclarationB102</v>
      </c>
      <c r="B197" s="288" t="s">
        <v>991</v>
      </c>
      <c r="C197" s="288" t="s">
        <v>12613</v>
      </c>
      <c r="D197" s="243" t="s">
        <v>2513</v>
      </c>
      <c r="E197" s="283" t="s">
        <v>13601</v>
      </c>
      <c r="F197" s="334" t="s">
        <v>14593</v>
      </c>
      <c r="G197" s="351" t="s">
        <v>14676</v>
      </c>
      <c r="H197" s="303" t="s">
        <v>12651</v>
      </c>
      <c r="I197" s="302" t="s">
        <v>14786</v>
      </c>
      <c r="J197" s="302" t="s">
        <v>15125</v>
      </c>
      <c r="K197" s="304" t="s">
        <v>14845</v>
      </c>
      <c r="L197" s="306" t="s">
        <v>13681</v>
      </c>
      <c r="M197" s="302" t="s">
        <v>15013</v>
      </c>
    </row>
    <row r="198" spans="1:13" ht="14.4">
      <c r="A198" s="288" t="str">
        <f t="shared" si="12"/>
        <v>DeclarationB103</v>
      </c>
      <c r="B198" s="288" t="s">
        <v>991</v>
      </c>
      <c r="C198" s="288" t="s">
        <v>12614</v>
      </c>
      <c r="D198" s="243" t="s">
        <v>2514</v>
      </c>
      <c r="E198" s="283" t="s">
        <v>13602</v>
      </c>
      <c r="F198" s="334" t="s">
        <v>14594</v>
      </c>
      <c r="G198" s="351" t="s">
        <v>14677</v>
      </c>
      <c r="H198" s="302" t="s">
        <v>14730</v>
      </c>
      <c r="I198" s="302" t="s">
        <v>14787</v>
      </c>
      <c r="J198" s="302" t="s">
        <v>15126</v>
      </c>
      <c r="K198" s="304" t="s">
        <v>14846</v>
      </c>
      <c r="L198" s="306" t="s">
        <v>13682</v>
      </c>
      <c r="M198" s="302" t="s">
        <v>15014</v>
      </c>
    </row>
    <row r="199" spans="1:13">
      <c r="A199" s="288" t="str">
        <f t="shared" si="12"/>
        <v>DeclarationB104</v>
      </c>
      <c r="B199" s="288" t="s">
        <v>991</v>
      </c>
      <c r="C199" s="288" t="s">
        <v>14208</v>
      </c>
      <c r="D199" s="288" t="s">
        <v>491</v>
      </c>
      <c r="E199" s="254" t="s">
        <v>13603</v>
      </c>
      <c r="F199" s="338" t="s">
        <v>14595</v>
      </c>
      <c r="G199" s="291" t="s">
        <v>552</v>
      </c>
      <c r="H199" s="288" t="s">
        <v>380</v>
      </c>
      <c r="I199" s="288" t="s">
        <v>240</v>
      </c>
      <c r="J199" s="288" t="s">
        <v>19</v>
      </c>
      <c r="K199" s="282" t="s">
        <v>271</v>
      </c>
      <c r="L199" s="294" t="s">
        <v>182</v>
      </c>
      <c r="M199" s="288" t="s">
        <v>15015</v>
      </c>
    </row>
    <row r="200" spans="1:13" ht="14.4">
      <c r="A200" s="288" t="str">
        <f t="shared" si="12"/>
        <v>DeclarationB105</v>
      </c>
      <c r="B200" s="288" t="s">
        <v>991</v>
      </c>
      <c r="C200" s="288" t="s">
        <v>14209</v>
      </c>
      <c r="D200" s="244" t="s">
        <v>12605</v>
      </c>
      <c r="E200" s="255" t="s">
        <v>14393</v>
      </c>
      <c r="F200" s="335" t="s">
        <v>14596</v>
      </c>
      <c r="G200" s="344" t="s">
        <v>14678</v>
      </c>
      <c r="H200" s="307" t="s">
        <v>14731</v>
      </c>
      <c r="I200" s="307" t="s">
        <v>14788</v>
      </c>
      <c r="J200" s="307" t="s">
        <v>15127</v>
      </c>
      <c r="K200" s="297" t="s">
        <v>14847</v>
      </c>
      <c r="L200" s="308" t="s">
        <v>12652</v>
      </c>
      <c r="M200" s="307" t="s">
        <v>15016</v>
      </c>
    </row>
    <row r="201" spans="1:13" ht="14.4">
      <c r="A201" s="288" t="str">
        <f t="shared" si="12"/>
        <v>DeclarationB106</v>
      </c>
      <c r="B201" s="288" t="s">
        <v>991</v>
      </c>
      <c r="C201" s="288" t="s">
        <v>14210</v>
      </c>
      <c r="D201" s="244" t="s">
        <v>12606</v>
      </c>
      <c r="E201" s="255" t="s">
        <v>14394</v>
      </c>
      <c r="F201" s="335" t="s">
        <v>14597</v>
      </c>
      <c r="G201" s="344" t="s">
        <v>14679</v>
      </c>
      <c r="H201" s="307" t="s">
        <v>14732</v>
      </c>
      <c r="I201" s="307" t="s">
        <v>14789</v>
      </c>
      <c r="J201" s="307" t="s">
        <v>15128</v>
      </c>
      <c r="K201" s="297" t="s">
        <v>14848</v>
      </c>
      <c r="L201" s="308" t="s">
        <v>12653</v>
      </c>
      <c r="M201" s="307" t="s">
        <v>15017</v>
      </c>
    </row>
    <row r="202" spans="1:13" ht="14.4">
      <c r="A202" s="288" t="str">
        <f t="shared" si="12"/>
        <v>DeclarationB107</v>
      </c>
      <c r="B202" s="288" t="s">
        <v>991</v>
      </c>
      <c r="C202" s="288" t="s">
        <v>14211</v>
      </c>
      <c r="D202" s="244" t="s">
        <v>489</v>
      </c>
      <c r="E202" s="255" t="s">
        <v>13597</v>
      </c>
      <c r="F202" s="335" t="s">
        <v>14598</v>
      </c>
      <c r="G202" s="344" t="s">
        <v>14680</v>
      </c>
      <c r="H202" s="307" t="s">
        <v>14733</v>
      </c>
      <c r="I202" s="307" t="s">
        <v>14790</v>
      </c>
      <c r="J202" s="307" t="s">
        <v>15129</v>
      </c>
      <c r="K202" s="297" t="s">
        <v>14680</v>
      </c>
      <c r="L202" s="309" t="s">
        <v>14902</v>
      </c>
      <c r="M202" s="307" t="s">
        <v>15018</v>
      </c>
    </row>
    <row r="203" spans="1:13">
      <c r="A203" s="288" t="str">
        <f t="shared" si="12"/>
        <v>DeclarationB108</v>
      </c>
      <c r="B203" s="288" t="s">
        <v>991</v>
      </c>
      <c r="C203" s="288" t="s">
        <v>14212</v>
      </c>
      <c r="D203" s="244" t="s">
        <v>14215</v>
      </c>
      <c r="E203" s="244" t="s">
        <v>14395</v>
      </c>
      <c r="F203" s="330" t="s">
        <v>14599</v>
      </c>
      <c r="G203" s="352" t="s">
        <v>15489</v>
      </c>
      <c r="H203" s="244" t="s">
        <v>14734</v>
      </c>
      <c r="I203" s="244" t="s">
        <v>14791</v>
      </c>
      <c r="J203" s="244" t="s">
        <v>15148</v>
      </c>
      <c r="K203" s="244" t="s">
        <v>14849</v>
      </c>
      <c r="L203" s="244" t="s">
        <v>14903</v>
      </c>
      <c r="M203" s="244" t="s">
        <v>15019</v>
      </c>
    </row>
    <row r="204" spans="1:13">
      <c r="A204" s="288" t="str">
        <f t="shared" si="12"/>
        <v>DeclarationB109</v>
      </c>
      <c r="B204" s="288" t="s">
        <v>991</v>
      </c>
      <c r="C204" s="288" t="s">
        <v>14213</v>
      </c>
      <c r="D204" s="244" t="s">
        <v>14217</v>
      </c>
      <c r="E204" s="244" t="s">
        <v>14396</v>
      </c>
      <c r="F204" s="330" t="s">
        <v>14600</v>
      </c>
      <c r="G204" s="352" t="s">
        <v>15490</v>
      </c>
      <c r="H204" s="244" t="s">
        <v>14735</v>
      </c>
      <c r="I204" s="244" t="s">
        <v>14792</v>
      </c>
      <c r="J204" s="244" t="s">
        <v>15149</v>
      </c>
      <c r="K204" s="244" t="s">
        <v>14850</v>
      </c>
      <c r="L204" s="244" t="s">
        <v>14904</v>
      </c>
      <c r="M204" s="244" t="s">
        <v>15020</v>
      </c>
    </row>
    <row r="205" spans="1:13">
      <c r="A205" s="288" t="str">
        <f t="shared" si="12"/>
        <v>DeclarationB110</v>
      </c>
      <c r="B205" s="288" t="s">
        <v>991</v>
      </c>
      <c r="C205" s="288" t="s">
        <v>14214</v>
      </c>
      <c r="D205" s="244" t="s">
        <v>14218</v>
      </c>
      <c r="E205" s="244" t="s">
        <v>14397</v>
      </c>
      <c r="F205" s="330" t="s">
        <v>14601</v>
      </c>
      <c r="G205" s="352" t="s">
        <v>15491</v>
      </c>
      <c r="H205" s="244" t="s">
        <v>14736</v>
      </c>
      <c r="I205" s="244" t="s">
        <v>14793</v>
      </c>
      <c r="J205" s="244" t="s">
        <v>15150</v>
      </c>
      <c r="K205" s="244" t="s">
        <v>14851</v>
      </c>
      <c r="L205" s="244" t="s">
        <v>14905</v>
      </c>
      <c r="M205" s="244" t="s">
        <v>15021</v>
      </c>
    </row>
    <row r="206" spans="1:13" ht="14.4">
      <c r="A206" s="288" t="str">
        <f t="shared" ref="A206" si="13">B206&amp;C206</f>
        <v>DeclarationB111</v>
      </c>
      <c r="B206" s="288" t="s">
        <v>991</v>
      </c>
      <c r="C206" s="288" t="s">
        <v>14216</v>
      </c>
      <c r="D206" s="244" t="s">
        <v>489</v>
      </c>
      <c r="E206" s="255" t="s">
        <v>13597</v>
      </c>
      <c r="F206" s="335" t="s">
        <v>14598</v>
      </c>
      <c r="G206" s="344"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3" t="s">
        <v>15275</v>
      </c>
      <c r="G207" s="344" t="s">
        <v>14681</v>
      </c>
      <c r="H207" s="296" t="s">
        <v>15276</v>
      </c>
      <c r="I207" s="296" t="s">
        <v>15277</v>
      </c>
      <c r="J207" s="296" t="s">
        <v>13698</v>
      </c>
      <c r="K207" s="297" t="s">
        <v>15278</v>
      </c>
      <c r="L207" s="310" t="s">
        <v>15279</v>
      </c>
      <c r="M207" s="296" t="s">
        <v>15022</v>
      </c>
    </row>
    <row r="208" spans="1:13" ht="27.6">
      <c r="A208" s="288" t="str">
        <f t="shared" ref="A208:A217" si="15">B208&amp;C208</f>
        <v>Smelter Look-upA4</v>
      </c>
      <c r="B208" s="288" t="s">
        <v>12635</v>
      </c>
      <c r="C208" s="288" t="s">
        <v>634</v>
      </c>
      <c r="D208" s="288" t="s">
        <v>845</v>
      </c>
      <c r="E208" s="255" t="s">
        <v>1086</v>
      </c>
      <c r="F208" s="338" t="s">
        <v>1086</v>
      </c>
      <c r="G208" s="291" t="s">
        <v>1087</v>
      </c>
      <c r="H208" s="288" t="s">
        <v>1284</v>
      </c>
      <c r="I208" s="288" t="s">
        <v>845</v>
      </c>
      <c r="J208" s="204" t="s">
        <v>940</v>
      </c>
      <c r="K208" s="282" t="s">
        <v>845</v>
      </c>
      <c r="L208" s="294" t="s">
        <v>456</v>
      </c>
      <c r="M208" s="288" t="s">
        <v>845</v>
      </c>
    </row>
    <row r="209" spans="1:13" ht="27.6">
      <c r="A209" s="288" t="str">
        <f t="shared" si="15"/>
        <v>Smelter Look-upB4</v>
      </c>
      <c r="B209" s="288" t="s">
        <v>12635</v>
      </c>
      <c r="C209" s="288" t="s">
        <v>950</v>
      </c>
      <c r="D209" s="288" t="s">
        <v>12633</v>
      </c>
      <c r="E209" s="255" t="s">
        <v>14173</v>
      </c>
      <c r="F209" s="333" t="s">
        <v>14602</v>
      </c>
      <c r="G209" s="344" t="s">
        <v>14682</v>
      </c>
      <c r="H209" s="296" t="s">
        <v>14737</v>
      </c>
      <c r="I209" s="296" t="s">
        <v>14794</v>
      </c>
      <c r="J209" s="336" t="s">
        <v>15581</v>
      </c>
      <c r="K209" s="297" t="s">
        <v>14852</v>
      </c>
      <c r="L209" s="298" t="s">
        <v>13683</v>
      </c>
      <c r="M209" s="296" t="s">
        <v>15023</v>
      </c>
    </row>
    <row r="210" spans="1:13" ht="27.6">
      <c r="A210" s="288" t="str">
        <f t="shared" si="15"/>
        <v>Smelter Look-up</v>
      </c>
      <c r="B210" s="288" t="s">
        <v>12635</v>
      </c>
      <c r="D210" s="288" t="s">
        <v>13368</v>
      </c>
      <c r="E210" s="255" t="s">
        <v>13604</v>
      </c>
      <c r="F210" s="338" t="s">
        <v>14603</v>
      </c>
      <c r="G210" s="291" t="s">
        <v>591</v>
      </c>
      <c r="H210" s="288" t="s">
        <v>383</v>
      </c>
      <c r="I210" s="288" t="s">
        <v>242</v>
      </c>
      <c r="J210" s="204" t="s">
        <v>1170</v>
      </c>
      <c r="K210" s="282" t="s">
        <v>1090</v>
      </c>
      <c r="L210" s="294" t="s">
        <v>623</v>
      </c>
      <c r="M210" s="288" t="s">
        <v>15024</v>
      </c>
    </row>
    <row r="211" spans="1:13" ht="27.6">
      <c r="A211" s="288" t="str">
        <f t="shared" si="15"/>
        <v>Smelter Look-upC4</v>
      </c>
      <c r="B211" s="288" t="s">
        <v>12635</v>
      </c>
      <c r="C211" s="288" t="s">
        <v>971</v>
      </c>
      <c r="D211" s="288" t="s">
        <v>902</v>
      </c>
      <c r="E211" s="283" t="s">
        <v>13605</v>
      </c>
      <c r="F211" s="338" t="s">
        <v>14604</v>
      </c>
      <c r="G211" s="291" t="s">
        <v>590</v>
      </c>
      <c r="H211" s="288" t="s">
        <v>382</v>
      </c>
      <c r="I211" s="288" t="s">
        <v>241</v>
      </c>
      <c r="J211" s="204" t="s">
        <v>1169</v>
      </c>
      <c r="K211" s="282" t="s">
        <v>272</v>
      </c>
      <c r="L211" s="294" t="s">
        <v>457</v>
      </c>
      <c r="M211" s="288" t="s">
        <v>15025</v>
      </c>
    </row>
    <row r="212" spans="1:13" ht="27.6">
      <c r="A212" s="288" t="str">
        <f t="shared" si="15"/>
        <v>Smelter Look-upD4</v>
      </c>
      <c r="B212" s="288" t="s">
        <v>12635</v>
      </c>
      <c r="C212" s="288" t="s">
        <v>1286</v>
      </c>
      <c r="D212" s="288" t="s">
        <v>901</v>
      </c>
      <c r="E212" s="286" t="s">
        <v>13606</v>
      </c>
      <c r="F212" s="338" t="s">
        <v>14605</v>
      </c>
      <c r="G212" s="291" t="s">
        <v>941</v>
      </c>
      <c r="H212" s="288" t="s">
        <v>384</v>
      </c>
      <c r="I212" s="288" t="s">
        <v>243</v>
      </c>
      <c r="J212" s="204" t="s">
        <v>12931</v>
      </c>
      <c r="K212" s="282" t="s">
        <v>273</v>
      </c>
      <c r="L212" s="294" t="s">
        <v>622</v>
      </c>
      <c r="M212" s="288" t="s">
        <v>15026</v>
      </c>
    </row>
    <row r="213" spans="1:13" ht="27.6">
      <c r="A213" s="288" t="str">
        <f t="shared" si="15"/>
        <v>Smelter Look-upE4</v>
      </c>
      <c r="B213" s="288" t="s">
        <v>12635</v>
      </c>
      <c r="C213" s="288" t="s">
        <v>1287</v>
      </c>
      <c r="D213" s="288" t="s">
        <v>12631</v>
      </c>
      <c r="E213" s="255" t="s">
        <v>14399</v>
      </c>
      <c r="F213" s="333" t="s">
        <v>14606</v>
      </c>
      <c r="G213" s="344" t="s">
        <v>589</v>
      </c>
      <c r="H213" s="296" t="s">
        <v>14738</v>
      </c>
      <c r="I213" s="296" t="s">
        <v>14795</v>
      </c>
      <c r="J213" s="336" t="s">
        <v>15582</v>
      </c>
      <c r="K213" s="297" t="s">
        <v>14853</v>
      </c>
      <c r="L213" s="298" t="s">
        <v>13684</v>
      </c>
      <c r="M213" s="296" t="s">
        <v>15027</v>
      </c>
    </row>
    <row r="214" spans="1:13" ht="27.6">
      <c r="A214" s="288" t="str">
        <f t="shared" si="15"/>
        <v>Smelter Look-upF4</v>
      </c>
      <c r="B214" s="288" t="s">
        <v>12635</v>
      </c>
      <c r="C214" s="288" t="s">
        <v>1297</v>
      </c>
      <c r="D214" s="288" t="s">
        <v>469</v>
      </c>
      <c r="E214" s="254" t="s">
        <v>13607</v>
      </c>
      <c r="F214" s="338"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8"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8"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8"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8"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8"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3" t="s">
        <v>14602</v>
      </c>
      <c r="G220" s="344" t="s">
        <v>14682</v>
      </c>
      <c r="H220" s="296" t="s">
        <v>14737</v>
      </c>
      <c r="I220" s="296" t="s">
        <v>14794</v>
      </c>
      <c r="J220" s="336"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3" t="s">
        <v>14612</v>
      </c>
      <c r="G221" s="343"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8"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8"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8" t="s">
        <v>14609</v>
      </c>
      <c r="G224" s="291" t="s">
        <v>555</v>
      </c>
      <c r="H224" s="288" t="s">
        <v>1136</v>
      </c>
      <c r="I224" s="288" t="s">
        <v>246</v>
      </c>
      <c r="J224" s="204" t="s">
        <v>12929</v>
      </c>
      <c r="K224" s="282" t="s">
        <v>276</v>
      </c>
      <c r="L224" s="311" t="s">
        <v>185</v>
      </c>
      <c r="M224" s="288" t="s">
        <v>15030</v>
      </c>
    </row>
    <row r="225" spans="1:13">
      <c r="A225" s="288" t="str">
        <f t="shared" si="16"/>
        <v>Smelter ListJ4</v>
      </c>
      <c r="B225" s="288" t="s">
        <v>1239</v>
      </c>
      <c r="C225" s="288" t="s">
        <v>1291</v>
      </c>
      <c r="D225" s="288" t="s">
        <v>900</v>
      </c>
      <c r="E225" s="283" t="s">
        <v>13610</v>
      </c>
      <c r="F225" s="338" t="s">
        <v>14610</v>
      </c>
      <c r="G225" s="291" t="s">
        <v>1137</v>
      </c>
      <c r="H225" s="288" t="s">
        <v>1138</v>
      </c>
      <c r="I225" s="288" t="s">
        <v>247</v>
      </c>
      <c r="J225" s="204" t="s">
        <v>12930</v>
      </c>
      <c r="K225" s="282" t="s">
        <v>110</v>
      </c>
      <c r="L225" s="311" t="s">
        <v>621</v>
      </c>
      <c r="M225" s="288" t="s">
        <v>15031</v>
      </c>
    </row>
    <row r="226" spans="1:13">
      <c r="A226" s="288" t="str">
        <f t="shared" si="16"/>
        <v>Smelter ListK4</v>
      </c>
      <c r="B226" s="288" t="s">
        <v>1239</v>
      </c>
      <c r="C226" s="288" t="s">
        <v>1292</v>
      </c>
      <c r="D226" s="288" t="s">
        <v>473</v>
      </c>
      <c r="E226" s="254" t="s">
        <v>13612</v>
      </c>
      <c r="F226" s="338"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8" t="s">
        <v>14615</v>
      </c>
      <c r="G227" s="291" t="s">
        <v>557</v>
      </c>
      <c r="H227" s="288" t="s">
        <v>1141</v>
      </c>
      <c r="I227" s="288" t="s">
        <v>249</v>
      </c>
      <c r="J227" s="204" t="s">
        <v>20</v>
      </c>
      <c r="K227" s="282" t="s">
        <v>1142</v>
      </c>
      <c r="L227" s="294" t="s">
        <v>455</v>
      </c>
      <c r="M227" s="288" t="s">
        <v>15035</v>
      </c>
    </row>
    <row r="228" spans="1:13">
      <c r="A228" s="288" t="str">
        <f t="shared" si="16"/>
        <v>Smelter ListM4</v>
      </c>
      <c r="B228" s="288" t="s">
        <v>1239</v>
      </c>
      <c r="C228" s="288" t="s">
        <v>1294</v>
      </c>
      <c r="D228" s="288" t="s">
        <v>475</v>
      </c>
      <c r="E228" s="254" t="s">
        <v>13614</v>
      </c>
      <c r="F228" s="338" t="s">
        <v>14616</v>
      </c>
      <c r="G228" s="291" t="s">
        <v>558</v>
      </c>
      <c r="H228" s="288" t="s">
        <v>1143</v>
      </c>
      <c r="I228" s="288" t="s">
        <v>250</v>
      </c>
      <c r="J228" s="204" t="s">
        <v>21</v>
      </c>
      <c r="K228" s="282" t="s">
        <v>111</v>
      </c>
      <c r="L228" s="294" t="s">
        <v>186</v>
      </c>
      <c r="M228" s="288" t="s">
        <v>15036</v>
      </c>
    </row>
    <row r="229" spans="1:13" ht="41.4">
      <c r="A229" s="288" t="str">
        <f t="shared" si="16"/>
        <v>Smelter ListN4</v>
      </c>
      <c r="B229" s="288" t="s">
        <v>1239</v>
      </c>
      <c r="C229" s="288" t="s">
        <v>1295</v>
      </c>
      <c r="D229" s="288" t="s">
        <v>502</v>
      </c>
      <c r="E229" s="254" t="s">
        <v>13615</v>
      </c>
      <c r="F229" s="338" t="s">
        <v>14617</v>
      </c>
      <c r="G229" s="291" t="s">
        <v>559</v>
      </c>
      <c r="H229" s="172" t="s">
        <v>385</v>
      </c>
      <c r="I229" s="288" t="s">
        <v>251</v>
      </c>
      <c r="J229" s="204" t="s">
        <v>1353</v>
      </c>
      <c r="K229" s="282" t="s">
        <v>112</v>
      </c>
      <c r="L229" s="294" t="s">
        <v>187</v>
      </c>
      <c r="M229" s="288" t="s">
        <v>15037</v>
      </c>
    </row>
    <row r="230" spans="1:13" ht="41.4">
      <c r="A230" s="288" t="str">
        <f t="shared" si="16"/>
        <v>Smelter ListO4</v>
      </c>
      <c r="B230" s="288" t="s">
        <v>1239</v>
      </c>
      <c r="C230" s="288" t="s">
        <v>1296</v>
      </c>
      <c r="D230" s="288" t="s">
        <v>992</v>
      </c>
      <c r="E230" s="254" t="s">
        <v>13616</v>
      </c>
      <c r="F230" s="338" t="s">
        <v>14618</v>
      </c>
      <c r="G230" s="291" t="s">
        <v>560</v>
      </c>
      <c r="H230" s="288" t="s">
        <v>386</v>
      </c>
      <c r="I230" s="288" t="s">
        <v>252</v>
      </c>
      <c r="J230" s="204" t="s">
        <v>1370</v>
      </c>
      <c r="K230" s="282" t="s">
        <v>113</v>
      </c>
      <c r="L230" s="294" t="s">
        <v>188</v>
      </c>
      <c r="M230" s="288" t="s">
        <v>15038</v>
      </c>
    </row>
    <row r="231" spans="1:13" ht="55.2">
      <c r="A231" s="288" t="str">
        <f t="shared" si="16"/>
        <v>Smelter ListP4</v>
      </c>
      <c r="B231" s="288" t="s">
        <v>1239</v>
      </c>
      <c r="C231" s="288" t="s">
        <v>492</v>
      </c>
      <c r="D231" s="288" t="s">
        <v>501</v>
      </c>
      <c r="E231" s="254" t="s">
        <v>13617</v>
      </c>
      <c r="F231" s="338" t="s">
        <v>14619</v>
      </c>
      <c r="G231" s="291" t="s">
        <v>15492</v>
      </c>
      <c r="H231" s="288" t="s">
        <v>14739</v>
      </c>
      <c r="I231" s="288" t="s">
        <v>253</v>
      </c>
      <c r="J231" s="204" t="s">
        <v>1354</v>
      </c>
      <c r="K231" s="282" t="s">
        <v>114</v>
      </c>
      <c r="L231" s="294" t="s">
        <v>189</v>
      </c>
      <c r="M231" s="288" t="s">
        <v>15039</v>
      </c>
    </row>
    <row r="232" spans="1:13">
      <c r="A232" s="288" t="str">
        <f t="shared" si="16"/>
        <v>Smelter ListQ4</v>
      </c>
      <c r="B232" s="288" t="s">
        <v>1239</v>
      </c>
      <c r="C232" s="288" t="s">
        <v>500</v>
      </c>
      <c r="D232" s="288" t="s">
        <v>835</v>
      </c>
      <c r="E232" s="254" t="s">
        <v>863</v>
      </c>
      <c r="F232" s="338" t="s">
        <v>14583</v>
      </c>
      <c r="G232" s="291" t="s">
        <v>923</v>
      </c>
      <c r="H232" s="288" t="s">
        <v>924</v>
      </c>
      <c r="I232" s="288" t="s">
        <v>925</v>
      </c>
      <c r="J232" s="204" t="s">
        <v>1027</v>
      </c>
      <c r="K232" s="282" t="s">
        <v>926</v>
      </c>
      <c r="L232" s="294" t="s">
        <v>451</v>
      </c>
      <c r="M232" s="288" t="s">
        <v>15003</v>
      </c>
    </row>
    <row r="233" spans="1:13" ht="27.6">
      <c r="A233" s="288" t="str">
        <f t="shared" si="16"/>
        <v>Smelter ListJ2</v>
      </c>
      <c r="B233" s="288" t="s">
        <v>1239</v>
      </c>
      <c r="C233" s="288" t="s">
        <v>825</v>
      </c>
      <c r="D233" s="288" t="s">
        <v>13393</v>
      </c>
      <c r="E233" s="288" t="s">
        <v>14400</v>
      </c>
      <c r="F233" s="338" t="s">
        <v>14620</v>
      </c>
      <c r="G233" s="291" t="s">
        <v>14683</v>
      </c>
      <c r="H233" s="288" t="s">
        <v>15240</v>
      </c>
      <c r="I233" s="288" t="s">
        <v>15241</v>
      </c>
      <c r="J233" s="204" t="s">
        <v>15242</v>
      </c>
      <c r="K233" s="282" t="s">
        <v>13477</v>
      </c>
      <c r="L233" s="294" t="s">
        <v>15243</v>
      </c>
      <c r="M233" s="288" t="s">
        <v>15040</v>
      </c>
    </row>
    <row r="234" spans="1:13" ht="41.4">
      <c r="A234" s="288" t="str">
        <f t="shared" si="16"/>
        <v>Smelter ListB2</v>
      </c>
      <c r="B234" s="288" t="s">
        <v>1239</v>
      </c>
      <c r="C234" s="288" t="s">
        <v>995</v>
      </c>
      <c r="D234" s="312" t="s">
        <v>2446</v>
      </c>
      <c r="E234" s="288" t="s">
        <v>14401</v>
      </c>
      <c r="F234" s="338" t="s">
        <v>14621</v>
      </c>
      <c r="G234" s="291" t="s">
        <v>14684</v>
      </c>
      <c r="H234" s="288" t="s">
        <v>2451</v>
      </c>
      <c r="I234" s="288" t="s">
        <v>2453</v>
      </c>
      <c r="J234" s="288" t="s">
        <v>2454</v>
      </c>
      <c r="K234" s="291" t="s">
        <v>2456</v>
      </c>
      <c r="L234" s="300" t="s">
        <v>14906</v>
      </c>
      <c r="M234" s="288" t="s">
        <v>15041</v>
      </c>
    </row>
    <row r="235" spans="1:13" ht="409.6">
      <c r="A235" s="288" t="str">
        <f t="shared" si="16"/>
        <v>Smelter ListB3</v>
      </c>
      <c r="B235" s="288" t="s">
        <v>1239</v>
      </c>
      <c r="C235" s="288" t="s">
        <v>949</v>
      </c>
      <c r="D235" s="313" t="s">
        <v>13501</v>
      </c>
      <c r="E235" s="288" t="s">
        <v>14402</v>
      </c>
      <c r="F235" s="333" t="s">
        <v>15236</v>
      </c>
      <c r="G235" s="343"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8" t="s">
        <v>14522</v>
      </c>
      <c r="G236" s="291" t="s">
        <v>589</v>
      </c>
      <c r="H236" s="288" t="s">
        <v>381</v>
      </c>
      <c r="I236" s="288" t="s">
        <v>254</v>
      </c>
      <c r="J236" s="204" t="s">
        <v>1168</v>
      </c>
      <c r="K236" s="282" t="s">
        <v>115</v>
      </c>
      <c r="L236" s="294" t="s">
        <v>71</v>
      </c>
      <c r="M236" s="288" t="s">
        <v>15042</v>
      </c>
    </row>
    <row r="237" spans="1:13">
      <c r="A237" s="288" t="str">
        <f t="shared" si="16"/>
        <v>Smelter ListG4</v>
      </c>
      <c r="B237" s="288" t="s">
        <v>1239</v>
      </c>
      <c r="C237" s="288" t="s">
        <v>1288</v>
      </c>
      <c r="D237" s="288" t="s">
        <v>469</v>
      </c>
      <c r="E237" s="288" t="s">
        <v>13607</v>
      </c>
      <c r="F237" s="338" t="s">
        <v>14607</v>
      </c>
      <c r="G237" s="291" t="s">
        <v>561</v>
      </c>
      <c r="H237" s="288" t="s">
        <v>387</v>
      </c>
      <c r="I237" s="288" t="s">
        <v>255</v>
      </c>
      <c r="J237" s="204" t="s">
        <v>1355</v>
      </c>
      <c r="K237" s="282" t="s">
        <v>116</v>
      </c>
      <c r="L237" s="294" t="s">
        <v>72</v>
      </c>
      <c r="M237" s="288" t="s">
        <v>15028</v>
      </c>
    </row>
    <row r="238" spans="1:13">
      <c r="A238" s="288" t="str">
        <f t="shared" si="16"/>
        <v>Smelter ListAH5</v>
      </c>
      <c r="B238" s="288" t="s">
        <v>1239</v>
      </c>
      <c r="C238" s="288" t="s">
        <v>12626</v>
      </c>
      <c r="D238" s="288" t="s">
        <v>488</v>
      </c>
      <c r="E238" s="288" t="s">
        <v>13596</v>
      </c>
      <c r="F238" s="338" t="s">
        <v>14588</v>
      </c>
      <c r="G238" s="291" t="s">
        <v>549</v>
      </c>
      <c r="H238" s="288" t="s">
        <v>378</v>
      </c>
      <c r="I238" s="288" t="s">
        <v>237</v>
      </c>
      <c r="J238" s="288" t="s">
        <v>16</v>
      </c>
      <c r="K238" s="282" t="s">
        <v>269</v>
      </c>
      <c r="L238" s="294" t="s">
        <v>179</v>
      </c>
      <c r="M238" s="288" t="s">
        <v>15009</v>
      </c>
    </row>
    <row r="239" spans="1:13">
      <c r="A239" s="288" t="str">
        <f t="shared" si="16"/>
        <v>Smelter ListAH6</v>
      </c>
      <c r="B239" s="288" t="s">
        <v>1239</v>
      </c>
      <c r="C239" s="288" t="s">
        <v>12627</v>
      </c>
      <c r="D239" s="288" t="s">
        <v>489</v>
      </c>
      <c r="E239" s="288" t="s">
        <v>13597</v>
      </c>
      <c r="F239" s="338" t="s">
        <v>14589</v>
      </c>
      <c r="G239" s="291" t="s">
        <v>550</v>
      </c>
      <c r="H239" s="288" t="s">
        <v>489</v>
      </c>
      <c r="I239" s="288" t="s">
        <v>238</v>
      </c>
      <c r="J239" s="288" t="s">
        <v>17</v>
      </c>
      <c r="K239" s="282" t="s">
        <v>489</v>
      </c>
      <c r="L239" s="294" t="s">
        <v>180</v>
      </c>
      <c r="M239" s="288" t="s">
        <v>15010</v>
      </c>
    </row>
    <row r="240" spans="1:13">
      <c r="A240" s="288" t="str">
        <f t="shared" si="16"/>
        <v>Smelter ListAH7</v>
      </c>
      <c r="B240" s="288" t="s">
        <v>1239</v>
      </c>
      <c r="C240" s="288" t="s">
        <v>12628</v>
      </c>
      <c r="D240" s="288" t="s">
        <v>490</v>
      </c>
      <c r="E240" s="288" t="s">
        <v>13598</v>
      </c>
      <c r="F240" s="338" t="s">
        <v>14590</v>
      </c>
      <c r="G240" s="291" t="s">
        <v>551</v>
      </c>
      <c r="H240" s="288" t="s">
        <v>379</v>
      </c>
      <c r="I240" s="288" t="s">
        <v>239</v>
      </c>
      <c r="J240" s="288" t="s">
        <v>18</v>
      </c>
      <c r="K240" s="282" t="s">
        <v>270</v>
      </c>
      <c r="L240" s="294" t="s">
        <v>181</v>
      </c>
      <c r="M240" s="288" t="s">
        <v>15011</v>
      </c>
    </row>
    <row r="241" spans="1:13" ht="55.2">
      <c r="A241" s="288" t="str">
        <f t="shared" si="16"/>
        <v>CheckerA1</v>
      </c>
      <c r="B241" s="288" t="s">
        <v>1240</v>
      </c>
      <c r="C241" s="288" t="s">
        <v>631</v>
      </c>
      <c r="D241" s="288" t="s">
        <v>13369</v>
      </c>
      <c r="E241" s="288" t="s">
        <v>14404</v>
      </c>
      <c r="F241" s="338"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8"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8"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8"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8"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8"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8"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8"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8"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8"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8" t="s">
        <v>1900</v>
      </c>
      <c r="G251" s="291" t="s">
        <v>1901</v>
      </c>
      <c r="H251" s="288" t="s">
        <v>1902</v>
      </c>
      <c r="I251" s="288" t="s">
        <v>1903</v>
      </c>
      <c r="J251" s="288" t="s">
        <v>1904</v>
      </c>
      <c r="K251" s="291" t="s">
        <v>1462</v>
      </c>
      <c r="L251" s="300" t="s">
        <v>1905</v>
      </c>
      <c r="M251" s="288" t="s">
        <v>2486</v>
      </c>
    </row>
    <row r="252" spans="1:13" ht="27.6">
      <c r="A252" s="288" t="s">
        <v>1444</v>
      </c>
      <c r="B252" s="288" t="s">
        <v>1240</v>
      </c>
      <c r="C252" s="288" t="s">
        <v>1291</v>
      </c>
      <c r="D252" s="288" t="s">
        <v>1534</v>
      </c>
      <c r="E252" s="288" t="s">
        <v>14412</v>
      </c>
      <c r="F252" s="338" t="s">
        <v>1906</v>
      </c>
      <c r="G252" s="291" t="s">
        <v>15493</v>
      </c>
      <c r="H252" s="288" t="s">
        <v>1907</v>
      </c>
      <c r="I252" s="288" t="s">
        <v>1908</v>
      </c>
      <c r="J252" s="288" t="s">
        <v>1909</v>
      </c>
      <c r="K252" s="291" t="s">
        <v>1910</v>
      </c>
      <c r="L252" s="300" t="s">
        <v>1911</v>
      </c>
      <c r="M252" s="288" t="s">
        <v>15050</v>
      </c>
    </row>
    <row r="253" spans="1:13" ht="27.6">
      <c r="A253" s="288" t="s">
        <v>1463</v>
      </c>
      <c r="B253" s="288" t="s">
        <v>1240</v>
      </c>
      <c r="C253" s="288" t="s">
        <v>1445</v>
      </c>
      <c r="D253" s="288" t="s">
        <v>1533</v>
      </c>
      <c r="E253" s="288" t="s">
        <v>14413</v>
      </c>
      <c r="F253" s="338" t="s">
        <v>1912</v>
      </c>
      <c r="G253" s="291" t="s">
        <v>15494</v>
      </c>
      <c r="H253" s="288" t="s">
        <v>1913</v>
      </c>
      <c r="I253" s="288" t="s">
        <v>1914</v>
      </c>
      <c r="J253" s="288" t="s">
        <v>1915</v>
      </c>
      <c r="K253" s="291" t="s">
        <v>1916</v>
      </c>
      <c r="L253" s="300" t="s">
        <v>1917</v>
      </c>
      <c r="M253" s="288" t="s">
        <v>15051</v>
      </c>
    </row>
    <row r="254" spans="1:13" ht="27.6">
      <c r="A254" s="288" t="s">
        <v>1507</v>
      </c>
      <c r="B254" s="288" t="s">
        <v>1240</v>
      </c>
      <c r="C254" s="288" t="s">
        <v>1446</v>
      </c>
      <c r="D254" s="288" t="s">
        <v>1539</v>
      </c>
      <c r="E254" s="288" t="s">
        <v>14414</v>
      </c>
      <c r="F254" s="338" t="s">
        <v>1918</v>
      </c>
      <c r="G254" s="291" t="s">
        <v>15495</v>
      </c>
      <c r="H254" s="288" t="s">
        <v>1919</v>
      </c>
      <c r="I254" s="288" t="s">
        <v>1920</v>
      </c>
      <c r="J254" s="288" t="s">
        <v>1921</v>
      </c>
      <c r="K254" s="291" t="s">
        <v>1922</v>
      </c>
      <c r="L254" s="300" t="s">
        <v>1923</v>
      </c>
      <c r="M254" s="288" t="s">
        <v>15052</v>
      </c>
    </row>
    <row r="255" spans="1:13" ht="27.6">
      <c r="A255" s="288" t="s">
        <v>1508</v>
      </c>
      <c r="B255" s="288" t="s">
        <v>1240</v>
      </c>
      <c r="C255" s="288" t="s">
        <v>1447</v>
      </c>
      <c r="D255" s="288" t="s">
        <v>1488</v>
      </c>
      <c r="E255" s="288" t="s">
        <v>14415</v>
      </c>
      <c r="F255" s="338" t="s">
        <v>1924</v>
      </c>
      <c r="G255" s="291" t="s">
        <v>15496</v>
      </c>
      <c r="H255" s="288" t="s">
        <v>1925</v>
      </c>
      <c r="I255" s="288" t="s">
        <v>1926</v>
      </c>
      <c r="J255" s="288" t="s">
        <v>1927</v>
      </c>
      <c r="K255" s="291" t="s">
        <v>1928</v>
      </c>
      <c r="L255" s="300" t="s">
        <v>1929</v>
      </c>
      <c r="M255" s="288" t="s">
        <v>15053</v>
      </c>
    </row>
    <row r="256" spans="1:13" ht="27.6">
      <c r="A256" s="288" t="s">
        <v>1517</v>
      </c>
      <c r="B256" s="288" t="s">
        <v>1240</v>
      </c>
      <c r="C256" s="288" t="s">
        <v>1448</v>
      </c>
      <c r="D256" s="288" t="s">
        <v>2480</v>
      </c>
      <c r="E256" s="288" t="s">
        <v>14416</v>
      </c>
      <c r="F256" s="338" t="s">
        <v>2489</v>
      </c>
      <c r="G256" s="291" t="s">
        <v>15497</v>
      </c>
      <c r="H256" s="288" t="s">
        <v>2492</v>
      </c>
      <c r="I256" s="288" t="s">
        <v>2495</v>
      </c>
      <c r="J256" s="288" t="s">
        <v>2498</v>
      </c>
      <c r="K256" s="291" t="s">
        <v>2501</v>
      </c>
      <c r="L256" s="300" t="s">
        <v>2504</v>
      </c>
      <c r="M256" s="288" t="s">
        <v>2507</v>
      </c>
    </row>
    <row r="257" spans="1:13" ht="27.6">
      <c r="A257" s="288" t="s">
        <v>1518</v>
      </c>
      <c r="B257" s="288" t="s">
        <v>1240</v>
      </c>
      <c r="C257" s="288" t="s">
        <v>1449</v>
      </c>
      <c r="D257" s="288" t="s">
        <v>1489</v>
      </c>
      <c r="E257" s="288" t="s">
        <v>14417</v>
      </c>
      <c r="F257" s="338" t="s">
        <v>1930</v>
      </c>
      <c r="G257" s="291" t="s">
        <v>15498</v>
      </c>
      <c r="H257" s="288" t="s">
        <v>1931</v>
      </c>
      <c r="I257" s="288" t="s">
        <v>1932</v>
      </c>
      <c r="J257" s="288" t="s">
        <v>1933</v>
      </c>
      <c r="K257" s="291" t="s">
        <v>1934</v>
      </c>
      <c r="L257" s="300" t="s">
        <v>1935</v>
      </c>
      <c r="M257" s="288" t="s">
        <v>15054</v>
      </c>
    </row>
    <row r="258" spans="1:13" ht="41.4">
      <c r="A258" s="288" t="s">
        <v>1519</v>
      </c>
      <c r="B258" s="288" t="s">
        <v>1240</v>
      </c>
      <c r="C258" s="288" t="s">
        <v>1450</v>
      </c>
      <c r="D258" s="288" t="s">
        <v>1490</v>
      </c>
      <c r="E258" s="288" t="s">
        <v>14418</v>
      </c>
      <c r="F258" s="338" t="s">
        <v>1936</v>
      </c>
      <c r="G258" s="291" t="s">
        <v>15499</v>
      </c>
      <c r="H258" s="288" t="s">
        <v>1937</v>
      </c>
      <c r="I258" s="288" t="s">
        <v>1938</v>
      </c>
      <c r="J258" s="288" t="s">
        <v>1939</v>
      </c>
      <c r="K258" s="291" t="s">
        <v>1940</v>
      </c>
      <c r="L258" s="300" t="s">
        <v>1941</v>
      </c>
      <c r="M258" s="288" t="s">
        <v>15055</v>
      </c>
    </row>
    <row r="259" spans="1:13" ht="41.4">
      <c r="A259" s="288" t="s">
        <v>1520</v>
      </c>
      <c r="B259" s="288" t="s">
        <v>1240</v>
      </c>
      <c r="C259" s="288" t="s">
        <v>1451</v>
      </c>
      <c r="D259" s="288" t="s">
        <v>1491</v>
      </c>
      <c r="E259" s="288" t="s">
        <v>14419</v>
      </c>
      <c r="F259" s="338" t="s">
        <v>2488</v>
      </c>
      <c r="G259" s="291" t="s">
        <v>15500</v>
      </c>
      <c r="H259" s="288" t="s">
        <v>2491</v>
      </c>
      <c r="I259" s="288" t="s">
        <v>14796</v>
      </c>
      <c r="J259" s="288" t="s">
        <v>2497</v>
      </c>
      <c r="K259" s="291" t="s">
        <v>2502</v>
      </c>
      <c r="L259" s="300" t="s">
        <v>2503</v>
      </c>
      <c r="M259" s="288" t="s">
        <v>2508</v>
      </c>
    </row>
    <row r="260" spans="1:13" ht="27.6">
      <c r="A260" s="288" t="s">
        <v>1521</v>
      </c>
      <c r="B260" s="288" t="s">
        <v>1240</v>
      </c>
      <c r="C260" s="288" t="s">
        <v>1452</v>
      </c>
      <c r="D260" s="288" t="s">
        <v>1464</v>
      </c>
      <c r="E260" s="288" t="s">
        <v>14420</v>
      </c>
      <c r="F260" s="338" t="s">
        <v>1942</v>
      </c>
      <c r="G260" s="291" t="s">
        <v>15501</v>
      </c>
      <c r="H260" s="288" t="s">
        <v>1943</v>
      </c>
      <c r="I260" s="288" t="s">
        <v>1944</v>
      </c>
      <c r="J260" s="288" t="s">
        <v>1945</v>
      </c>
      <c r="K260" s="291" t="s">
        <v>1946</v>
      </c>
      <c r="L260" s="300" t="s">
        <v>1947</v>
      </c>
      <c r="M260" s="288" t="s">
        <v>15056</v>
      </c>
    </row>
    <row r="261" spans="1:13" ht="41.4">
      <c r="A261" s="288" t="s">
        <v>14294</v>
      </c>
      <c r="B261" s="288" t="s">
        <v>1240</v>
      </c>
      <c r="C261" s="288" t="s">
        <v>14293</v>
      </c>
      <c r="D261" s="288" t="s">
        <v>1535</v>
      </c>
      <c r="E261" s="288" t="s">
        <v>14421</v>
      </c>
      <c r="F261" s="338" t="s">
        <v>1948</v>
      </c>
      <c r="G261" s="291" t="s">
        <v>15502</v>
      </c>
      <c r="H261" s="288" t="s">
        <v>1949</v>
      </c>
      <c r="I261" s="288" t="s">
        <v>1950</v>
      </c>
      <c r="J261" s="288" t="s">
        <v>1951</v>
      </c>
      <c r="K261" s="291" t="s">
        <v>1952</v>
      </c>
      <c r="L261" s="300" t="s">
        <v>1953</v>
      </c>
      <c r="M261" s="288" t="s">
        <v>15057</v>
      </c>
    </row>
    <row r="262" spans="1:13" ht="41.4">
      <c r="A262" s="288" t="s">
        <v>1522</v>
      </c>
      <c r="B262" s="288" t="s">
        <v>1240</v>
      </c>
      <c r="C262" s="288" t="s">
        <v>1453</v>
      </c>
      <c r="D262" s="288" t="s">
        <v>1536</v>
      </c>
      <c r="E262" s="288" t="s">
        <v>14422</v>
      </c>
      <c r="F262" s="338" t="s">
        <v>1954</v>
      </c>
      <c r="G262" s="291" t="s">
        <v>15503</v>
      </c>
      <c r="H262" s="288" t="s">
        <v>1955</v>
      </c>
      <c r="I262" s="288" t="s">
        <v>1956</v>
      </c>
      <c r="J262" s="288" t="s">
        <v>1957</v>
      </c>
      <c r="K262" s="291" t="s">
        <v>1958</v>
      </c>
      <c r="L262" s="300" t="s">
        <v>1959</v>
      </c>
      <c r="M262" s="288" t="s">
        <v>15058</v>
      </c>
    </row>
    <row r="263" spans="1:13" ht="27.6">
      <c r="A263" s="288" t="s">
        <v>1523</v>
      </c>
      <c r="B263" s="288" t="s">
        <v>1240</v>
      </c>
      <c r="C263" s="288" t="s">
        <v>1454</v>
      </c>
      <c r="D263" s="288" t="s">
        <v>1537</v>
      </c>
      <c r="E263" s="288" t="s">
        <v>14423</v>
      </c>
      <c r="F263" s="338" t="s">
        <v>1960</v>
      </c>
      <c r="G263" s="291" t="s">
        <v>15504</v>
      </c>
      <c r="H263" s="288" t="s">
        <v>1961</v>
      </c>
      <c r="I263" s="288" t="s">
        <v>1962</v>
      </c>
      <c r="J263" s="288" t="s">
        <v>1963</v>
      </c>
      <c r="K263" s="291" t="s">
        <v>1964</v>
      </c>
      <c r="L263" s="300" t="s">
        <v>1965</v>
      </c>
      <c r="M263" s="288" t="s">
        <v>15059</v>
      </c>
    </row>
    <row r="264" spans="1:13" ht="41.4">
      <c r="A264" s="288" t="s">
        <v>1524</v>
      </c>
      <c r="B264" s="288" t="s">
        <v>1240</v>
      </c>
      <c r="C264" s="288" t="s">
        <v>1455</v>
      </c>
      <c r="D264" s="288" t="s">
        <v>1538</v>
      </c>
      <c r="E264" s="288" t="s">
        <v>14424</v>
      </c>
      <c r="F264" s="338" t="s">
        <v>1966</v>
      </c>
      <c r="G264" s="291" t="s">
        <v>15505</v>
      </c>
      <c r="H264" s="288" t="s">
        <v>1967</v>
      </c>
      <c r="I264" s="288" t="s">
        <v>1968</v>
      </c>
      <c r="J264" s="288" t="s">
        <v>1969</v>
      </c>
      <c r="K264" s="291" t="s">
        <v>1970</v>
      </c>
      <c r="L264" s="300" t="s">
        <v>1971</v>
      </c>
      <c r="M264" s="288" t="s">
        <v>15060</v>
      </c>
    </row>
    <row r="265" spans="1:13" ht="55.2">
      <c r="A265" s="288" t="s">
        <v>14297</v>
      </c>
      <c r="B265" s="288" t="s">
        <v>1240</v>
      </c>
      <c r="C265" s="288" t="s">
        <v>14295</v>
      </c>
      <c r="D265" s="288" t="s">
        <v>1465</v>
      </c>
      <c r="E265" s="288" t="s">
        <v>14425</v>
      </c>
      <c r="F265" s="338" t="s">
        <v>1972</v>
      </c>
      <c r="G265" s="291" t="s">
        <v>15506</v>
      </c>
      <c r="H265" s="288" t="s">
        <v>1973</v>
      </c>
      <c r="I265" s="288" t="s">
        <v>1974</v>
      </c>
      <c r="J265" s="288" t="s">
        <v>1975</v>
      </c>
      <c r="K265" s="291" t="s">
        <v>1976</v>
      </c>
      <c r="L265" s="300" t="s">
        <v>1977</v>
      </c>
      <c r="M265" s="288" t="s">
        <v>15061</v>
      </c>
    </row>
    <row r="266" spans="1:13" ht="55.2">
      <c r="A266" s="288" t="s">
        <v>1525</v>
      </c>
      <c r="B266" s="288" t="s">
        <v>1240</v>
      </c>
      <c r="C266" s="288" t="s">
        <v>1456</v>
      </c>
      <c r="D266" s="288" t="s">
        <v>1466</v>
      </c>
      <c r="E266" s="288" t="s">
        <v>14426</v>
      </c>
      <c r="F266" s="338" t="s">
        <v>1978</v>
      </c>
      <c r="G266" s="291" t="s">
        <v>15507</v>
      </c>
      <c r="H266" s="288" t="s">
        <v>1979</v>
      </c>
      <c r="I266" s="288" t="s">
        <v>1980</v>
      </c>
      <c r="J266" s="288" t="s">
        <v>1981</v>
      </c>
      <c r="K266" s="291" t="s">
        <v>1982</v>
      </c>
      <c r="L266" s="300" t="s">
        <v>1983</v>
      </c>
      <c r="M266" s="288" t="s">
        <v>15062</v>
      </c>
    </row>
    <row r="267" spans="1:13" ht="55.2">
      <c r="A267" s="288" t="s">
        <v>1526</v>
      </c>
      <c r="B267" s="288" t="s">
        <v>1240</v>
      </c>
      <c r="C267" s="288" t="s">
        <v>1457</v>
      </c>
      <c r="D267" s="288" t="s">
        <v>1467</v>
      </c>
      <c r="E267" s="288" t="s">
        <v>14427</v>
      </c>
      <c r="F267" s="338" t="s">
        <v>1984</v>
      </c>
      <c r="G267" s="291" t="s">
        <v>15508</v>
      </c>
      <c r="H267" s="288" t="s">
        <v>1985</v>
      </c>
      <c r="I267" s="288" t="s">
        <v>1986</v>
      </c>
      <c r="J267" s="288" t="s">
        <v>1987</v>
      </c>
      <c r="K267" s="291" t="s">
        <v>1988</v>
      </c>
      <c r="L267" s="300" t="s">
        <v>1989</v>
      </c>
      <c r="M267" s="288" t="s">
        <v>15063</v>
      </c>
    </row>
    <row r="268" spans="1:13" ht="55.2">
      <c r="A268" s="288" t="s">
        <v>1527</v>
      </c>
      <c r="B268" s="288" t="s">
        <v>1240</v>
      </c>
      <c r="C268" s="288" t="s">
        <v>1458</v>
      </c>
      <c r="D268" s="288" t="s">
        <v>1468</v>
      </c>
      <c r="E268" s="288" t="s">
        <v>14428</v>
      </c>
      <c r="F268" s="338" t="s">
        <v>1990</v>
      </c>
      <c r="G268" s="291" t="s">
        <v>15509</v>
      </c>
      <c r="H268" s="288" t="s">
        <v>1991</v>
      </c>
      <c r="I268" s="288" t="s">
        <v>1992</v>
      </c>
      <c r="J268" s="288" t="s">
        <v>1993</v>
      </c>
      <c r="K268" s="291" t="s">
        <v>1994</v>
      </c>
      <c r="L268" s="300" t="s">
        <v>1995</v>
      </c>
      <c r="M268" s="288" t="s">
        <v>15064</v>
      </c>
    </row>
    <row r="269" spans="1:13" ht="69">
      <c r="A269" s="288" t="s">
        <v>14298</v>
      </c>
      <c r="B269" s="288" t="s">
        <v>1240</v>
      </c>
      <c r="C269" s="288" t="s">
        <v>14296</v>
      </c>
      <c r="D269" s="288" t="s">
        <v>1469</v>
      </c>
      <c r="E269" s="288" t="s">
        <v>14429</v>
      </c>
      <c r="F269" s="338" t="s">
        <v>1996</v>
      </c>
      <c r="G269" s="291" t="s">
        <v>15510</v>
      </c>
      <c r="H269" s="288" t="s">
        <v>1997</v>
      </c>
      <c r="I269" s="288" t="s">
        <v>1998</v>
      </c>
      <c r="J269" s="288" t="s">
        <v>1999</v>
      </c>
      <c r="K269" s="291" t="s">
        <v>2000</v>
      </c>
      <c r="L269" s="300" t="s">
        <v>2001</v>
      </c>
      <c r="M269" s="288" t="s">
        <v>15065</v>
      </c>
    </row>
    <row r="270" spans="1:13" ht="69">
      <c r="A270" s="288" t="s">
        <v>1528</v>
      </c>
      <c r="B270" s="288" t="s">
        <v>1240</v>
      </c>
      <c r="C270" s="288" t="s">
        <v>1492</v>
      </c>
      <c r="D270" s="288" t="s">
        <v>1470</v>
      </c>
      <c r="E270" s="288" t="s">
        <v>14430</v>
      </c>
      <c r="F270" s="338" t="s">
        <v>2002</v>
      </c>
      <c r="G270" s="291" t="s">
        <v>15511</v>
      </c>
      <c r="H270" s="288" t="s">
        <v>2003</v>
      </c>
      <c r="I270" s="288" t="s">
        <v>2004</v>
      </c>
      <c r="J270" s="288" t="s">
        <v>2005</v>
      </c>
      <c r="K270" s="291" t="s">
        <v>2006</v>
      </c>
      <c r="L270" s="300" t="s">
        <v>2007</v>
      </c>
      <c r="M270" s="288" t="s">
        <v>15066</v>
      </c>
    </row>
    <row r="271" spans="1:13" ht="69">
      <c r="A271" s="288" t="s">
        <v>1529</v>
      </c>
      <c r="B271" s="288" t="s">
        <v>1240</v>
      </c>
      <c r="C271" s="288" t="s">
        <v>1493</v>
      </c>
      <c r="D271" s="288" t="s">
        <v>1471</v>
      </c>
      <c r="E271" s="288" t="s">
        <v>14431</v>
      </c>
      <c r="F271" s="338" t="s">
        <v>2008</v>
      </c>
      <c r="G271" s="291" t="s">
        <v>15512</v>
      </c>
      <c r="H271" s="288" t="s">
        <v>2009</v>
      </c>
      <c r="I271" s="288" t="s">
        <v>2010</v>
      </c>
      <c r="J271" s="288" t="s">
        <v>2011</v>
      </c>
      <c r="K271" s="291" t="s">
        <v>2012</v>
      </c>
      <c r="L271" s="300" t="s">
        <v>2013</v>
      </c>
      <c r="M271" s="288" t="s">
        <v>15067</v>
      </c>
    </row>
    <row r="272" spans="1:13" ht="69">
      <c r="A272" s="288" t="s">
        <v>1530</v>
      </c>
      <c r="B272" s="288" t="s">
        <v>1240</v>
      </c>
      <c r="C272" s="288" t="s">
        <v>1494</v>
      </c>
      <c r="D272" s="288" t="s">
        <v>1472</v>
      </c>
      <c r="E272" s="288" t="s">
        <v>14432</v>
      </c>
      <c r="F272" s="338" t="s">
        <v>2014</v>
      </c>
      <c r="G272" s="291" t="s">
        <v>15513</v>
      </c>
      <c r="H272" s="288" t="s">
        <v>2015</v>
      </c>
      <c r="I272" s="288" t="s">
        <v>2016</v>
      </c>
      <c r="J272" s="288" t="s">
        <v>2017</v>
      </c>
      <c r="K272" s="291" t="s">
        <v>2018</v>
      </c>
      <c r="L272" s="300" t="s">
        <v>2019</v>
      </c>
      <c r="M272" s="288" t="s">
        <v>15068</v>
      </c>
    </row>
    <row r="273" spans="1:13" ht="55.2">
      <c r="A273" s="288" t="s">
        <v>14331</v>
      </c>
      <c r="B273" s="288" t="s">
        <v>1240</v>
      </c>
      <c r="C273" s="288" t="s">
        <v>14339</v>
      </c>
      <c r="D273" s="288" t="s">
        <v>15200</v>
      </c>
      <c r="E273" s="288" t="s">
        <v>15201</v>
      </c>
      <c r="F273" s="338" t="s">
        <v>15202</v>
      </c>
      <c r="G273" s="291" t="s">
        <v>15514</v>
      </c>
      <c r="H273" s="288" t="s">
        <v>15203</v>
      </c>
      <c r="I273" s="288" t="s">
        <v>15204</v>
      </c>
      <c r="J273" s="288" t="s">
        <v>15205</v>
      </c>
      <c r="K273" s="288" t="s">
        <v>15206</v>
      </c>
      <c r="L273" s="288" t="s">
        <v>15207</v>
      </c>
      <c r="M273" s="288" t="s">
        <v>15208</v>
      </c>
    </row>
    <row r="274" spans="1:13" ht="55.2">
      <c r="A274" s="288" t="s">
        <v>14332</v>
      </c>
      <c r="B274" s="288" t="s">
        <v>1240</v>
      </c>
      <c r="C274" s="186" t="s">
        <v>1495</v>
      </c>
      <c r="D274" s="288" t="s">
        <v>15209</v>
      </c>
      <c r="E274" s="288" t="s">
        <v>15210</v>
      </c>
      <c r="F274" s="338" t="s">
        <v>15211</v>
      </c>
      <c r="G274" s="291" t="s">
        <v>15515</v>
      </c>
      <c r="H274" s="288" t="s">
        <v>15212</v>
      </c>
      <c r="I274" s="288" t="s">
        <v>15213</v>
      </c>
      <c r="J274" s="288" t="s">
        <v>15214</v>
      </c>
      <c r="K274" s="288" t="s">
        <v>15215</v>
      </c>
      <c r="L274" s="288" t="s">
        <v>15216</v>
      </c>
      <c r="M274" s="288" t="s">
        <v>15217</v>
      </c>
    </row>
    <row r="275" spans="1:13" ht="55.2">
      <c r="A275" s="288" t="s">
        <v>14299</v>
      </c>
      <c r="B275" s="288" t="s">
        <v>1240</v>
      </c>
      <c r="C275" s="186" t="s">
        <v>1496</v>
      </c>
      <c r="D275" s="288" t="s">
        <v>15223</v>
      </c>
      <c r="E275" s="288" t="s">
        <v>15224</v>
      </c>
      <c r="F275" s="338" t="s">
        <v>15225</v>
      </c>
      <c r="G275" s="291" t="s">
        <v>15516</v>
      </c>
      <c r="H275" s="288" t="s">
        <v>15226</v>
      </c>
      <c r="I275" s="288" t="s">
        <v>15222</v>
      </c>
      <c r="J275" s="288" t="s">
        <v>15221</v>
      </c>
      <c r="K275" s="288" t="s">
        <v>15220</v>
      </c>
      <c r="L275" s="288" t="s">
        <v>15219</v>
      </c>
      <c r="M275" s="288" t="s">
        <v>15218</v>
      </c>
    </row>
    <row r="276" spans="1:13" ht="55.2">
      <c r="A276" s="288" t="s">
        <v>14300</v>
      </c>
      <c r="B276" s="288" t="s">
        <v>1240</v>
      </c>
      <c r="C276" s="288" t="s">
        <v>1497</v>
      </c>
      <c r="D276" s="288" t="s">
        <v>15227</v>
      </c>
      <c r="E276" s="288" t="s">
        <v>15228</v>
      </c>
      <c r="F276" s="338" t="s">
        <v>15229</v>
      </c>
      <c r="G276" s="291" t="s">
        <v>15517</v>
      </c>
      <c r="H276" s="288" t="s">
        <v>15230</v>
      </c>
      <c r="I276" s="288" t="s">
        <v>15231</v>
      </c>
      <c r="J276" s="288" t="s">
        <v>15232</v>
      </c>
      <c r="K276" s="288" t="s">
        <v>15233</v>
      </c>
      <c r="L276" s="288" t="s">
        <v>15234</v>
      </c>
      <c r="M276" s="288" t="s">
        <v>15235</v>
      </c>
    </row>
    <row r="277" spans="1:13" ht="55.2">
      <c r="A277" s="288" t="s">
        <v>14301</v>
      </c>
      <c r="B277" s="288" t="s">
        <v>1240</v>
      </c>
      <c r="C277" s="288" t="s">
        <v>14325</v>
      </c>
      <c r="D277" s="288" t="s">
        <v>1473</v>
      </c>
      <c r="E277" s="254" t="s">
        <v>13618</v>
      </c>
      <c r="F277" s="338" t="s">
        <v>15297</v>
      </c>
      <c r="G277" s="291" t="s">
        <v>15518</v>
      </c>
      <c r="H277" s="288" t="s">
        <v>2020</v>
      </c>
      <c r="I277" s="288" t="s">
        <v>2021</v>
      </c>
      <c r="J277" s="288" t="s">
        <v>2022</v>
      </c>
      <c r="K277" s="291" t="s">
        <v>2023</v>
      </c>
      <c r="L277" s="300" t="s">
        <v>2024</v>
      </c>
      <c r="M277" s="288" t="s">
        <v>15069</v>
      </c>
    </row>
    <row r="278" spans="1:13" ht="55.2">
      <c r="A278" s="288" t="s">
        <v>14333</v>
      </c>
      <c r="B278" s="288" t="s">
        <v>1240</v>
      </c>
      <c r="C278" s="288" t="s">
        <v>1498</v>
      </c>
      <c r="D278" s="186" t="s">
        <v>1474</v>
      </c>
      <c r="E278" s="254" t="s">
        <v>13619</v>
      </c>
      <c r="F278" s="329" t="s">
        <v>15298</v>
      </c>
      <c r="G278" s="291" t="s">
        <v>15519</v>
      </c>
      <c r="H278" s="186" t="s">
        <v>2025</v>
      </c>
      <c r="I278" s="186" t="s">
        <v>2026</v>
      </c>
      <c r="J278" s="186" t="s">
        <v>2027</v>
      </c>
      <c r="K278" s="291" t="s">
        <v>2028</v>
      </c>
      <c r="L278" s="314" t="s">
        <v>2029</v>
      </c>
      <c r="M278" s="186" t="s">
        <v>15070</v>
      </c>
    </row>
    <row r="279" spans="1:13" ht="55.2">
      <c r="A279" s="288" t="s">
        <v>14302</v>
      </c>
      <c r="B279" s="288" t="s">
        <v>1240</v>
      </c>
      <c r="C279" s="288" t="s">
        <v>1499</v>
      </c>
      <c r="D279" s="288" t="s">
        <v>1475</v>
      </c>
      <c r="E279" s="254" t="s">
        <v>13620</v>
      </c>
      <c r="F279" s="338" t="s">
        <v>15299</v>
      </c>
      <c r="G279" s="291" t="s">
        <v>15520</v>
      </c>
      <c r="H279" s="288" t="s">
        <v>2030</v>
      </c>
      <c r="I279" s="288" t="s">
        <v>2031</v>
      </c>
      <c r="J279" s="288" t="s">
        <v>2032</v>
      </c>
      <c r="K279" s="291" t="s">
        <v>2033</v>
      </c>
      <c r="L279" s="300" t="s">
        <v>2034</v>
      </c>
      <c r="M279" s="288" t="s">
        <v>15071</v>
      </c>
    </row>
    <row r="280" spans="1:13" ht="55.2">
      <c r="A280" s="288" t="s">
        <v>14303</v>
      </c>
      <c r="B280" s="288" t="s">
        <v>1240</v>
      </c>
      <c r="C280" s="288" t="s">
        <v>1500</v>
      </c>
      <c r="D280" s="288" t="s">
        <v>1476</v>
      </c>
      <c r="E280" s="254" t="s">
        <v>13621</v>
      </c>
      <c r="F280" s="338" t="s">
        <v>15300</v>
      </c>
      <c r="G280" s="291" t="s">
        <v>15521</v>
      </c>
      <c r="H280" s="288" t="s">
        <v>2035</v>
      </c>
      <c r="I280" s="288" t="s">
        <v>2036</v>
      </c>
      <c r="J280" s="288" t="s">
        <v>2037</v>
      </c>
      <c r="K280" s="291" t="s">
        <v>2038</v>
      </c>
      <c r="L280" s="300" t="s">
        <v>2039</v>
      </c>
      <c r="M280" s="288" t="s">
        <v>15072</v>
      </c>
    </row>
    <row r="281" spans="1:13" ht="41.4">
      <c r="A281" s="288" t="s">
        <v>14304</v>
      </c>
      <c r="B281" s="288" t="s">
        <v>1240</v>
      </c>
      <c r="C281" s="288" t="s">
        <v>14326</v>
      </c>
      <c r="D281" s="288" t="s">
        <v>1252</v>
      </c>
      <c r="E281" s="254" t="s">
        <v>13622</v>
      </c>
      <c r="F281" s="338"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8"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8"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8"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8" t="s">
        <v>2060</v>
      </c>
      <c r="G285" s="291" t="s">
        <v>15526</v>
      </c>
      <c r="H285" s="288" t="s">
        <v>2061</v>
      </c>
      <c r="I285" s="288" t="s">
        <v>2062</v>
      </c>
      <c r="J285" s="288" t="s">
        <v>15590</v>
      </c>
      <c r="K285" s="291" t="s">
        <v>2063</v>
      </c>
      <c r="L285" s="300" t="s">
        <v>2064</v>
      </c>
      <c r="M285" s="288" t="s">
        <v>15077</v>
      </c>
    </row>
    <row r="286" spans="1:13" ht="55.2">
      <c r="A286" s="288" t="s">
        <v>14335</v>
      </c>
      <c r="B286" s="288" t="s">
        <v>1240</v>
      </c>
      <c r="C286" s="288" t="s">
        <v>1504</v>
      </c>
      <c r="D286" s="288" t="s">
        <v>1478</v>
      </c>
      <c r="E286" s="254" t="s">
        <v>13627</v>
      </c>
      <c r="F286" s="338" t="s">
        <v>2065</v>
      </c>
      <c r="G286" s="291" t="s">
        <v>15527</v>
      </c>
      <c r="H286" s="288" t="s">
        <v>2066</v>
      </c>
      <c r="I286" s="288" t="s">
        <v>2067</v>
      </c>
      <c r="J286" s="288" t="s">
        <v>15591</v>
      </c>
      <c r="K286" s="291" t="s">
        <v>2068</v>
      </c>
      <c r="L286" s="300" t="s">
        <v>2069</v>
      </c>
      <c r="M286" s="288" t="s">
        <v>15078</v>
      </c>
    </row>
    <row r="287" spans="1:13" ht="55.2">
      <c r="A287" s="288" t="s">
        <v>14308</v>
      </c>
      <c r="B287" s="288" t="s">
        <v>1240</v>
      </c>
      <c r="C287" s="288" t="s">
        <v>1505</v>
      </c>
      <c r="D287" s="288" t="s">
        <v>1479</v>
      </c>
      <c r="E287" s="254" t="s">
        <v>13628</v>
      </c>
      <c r="F287" s="338" t="s">
        <v>2070</v>
      </c>
      <c r="G287" s="291" t="s">
        <v>15528</v>
      </c>
      <c r="H287" s="288" t="s">
        <v>2071</v>
      </c>
      <c r="I287" s="288" t="s">
        <v>2072</v>
      </c>
      <c r="J287" s="288" t="s">
        <v>15592</v>
      </c>
      <c r="K287" s="291" t="s">
        <v>2073</v>
      </c>
      <c r="L287" s="300" t="s">
        <v>2074</v>
      </c>
      <c r="M287" s="288" t="s">
        <v>15079</v>
      </c>
    </row>
    <row r="288" spans="1:13" ht="55.2">
      <c r="A288" s="288" t="s">
        <v>14309</v>
      </c>
      <c r="B288" s="288" t="s">
        <v>1240</v>
      </c>
      <c r="C288" s="288" t="s">
        <v>1506</v>
      </c>
      <c r="D288" s="288" t="s">
        <v>1480</v>
      </c>
      <c r="E288" s="254" t="s">
        <v>13629</v>
      </c>
      <c r="F288" s="338" t="s">
        <v>2075</v>
      </c>
      <c r="G288" s="291" t="s">
        <v>15529</v>
      </c>
      <c r="H288" s="288" t="s">
        <v>2076</v>
      </c>
      <c r="I288" s="288" t="s">
        <v>2077</v>
      </c>
      <c r="J288" s="288" t="s">
        <v>15593</v>
      </c>
      <c r="K288" s="291" t="s">
        <v>2078</v>
      </c>
      <c r="L288" s="300" t="s">
        <v>2079</v>
      </c>
      <c r="M288" s="288" t="s">
        <v>15080</v>
      </c>
    </row>
    <row r="289" spans="1:13" ht="41.4">
      <c r="A289" s="288" t="s">
        <v>14310</v>
      </c>
      <c r="B289" s="288" t="s">
        <v>1240</v>
      </c>
      <c r="C289" s="288" t="s">
        <v>14328</v>
      </c>
      <c r="D289" s="288" t="s">
        <v>1481</v>
      </c>
      <c r="E289" s="254" t="s">
        <v>13630</v>
      </c>
      <c r="F289" s="338" t="s">
        <v>2080</v>
      </c>
      <c r="G289" s="291" t="s">
        <v>15530</v>
      </c>
      <c r="H289" s="288" t="s">
        <v>2081</v>
      </c>
      <c r="I289" s="288" t="s">
        <v>2082</v>
      </c>
      <c r="J289" s="288" t="s">
        <v>15594</v>
      </c>
      <c r="K289" s="291" t="s">
        <v>2083</v>
      </c>
      <c r="L289" s="300" t="s">
        <v>2084</v>
      </c>
      <c r="M289" s="288" t="s">
        <v>15081</v>
      </c>
    </row>
    <row r="290" spans="1:13" ht="41.4">
      <c r="A290" s="288" t="s">
        <v>14336</v>
      </c>
      <c r="B290" s="288" t="s">
        <v>1240</v>
      </c>
      <c r="C290" s="288" t="s">
        <v>1509</v>
      </c>
      <c r="D290" s="288" t="s">
        <v>1482</v>
      </c>
      <c r="E290" s="254" t="s">
        <v>13631</v>
      </c>
      <c r="F290" s="338" t="s">
        <v>2085</v>
      </c>
      <c r="G290" s="291" t="s">
        <v>15531</v>
      </c>
      <c r="H290" s="288" t="s">
        <v>2086</v>
      </c>
      <c r="I290" s="288" t="s">
        <v>2087</v>
      </c>
      <c r="J290" s="288" t="s">
        <v>15595</v>
      </c>
      <c r="K290" s="291" t="s">
        <v>2088</v>
      </c>
      <c r="L290" s="300" t="s">
        <v>2089</v>
      </c>
      <c r="M290" s="288" t="s">
        <v>15082</v>
      </c>
    </row>
    <row r="291" spans="1:13" ht="41.4">
      <c r="A291" s="288" t="s">
        <v>14311</v>
      </c>
      <c r="B291" s="288" t="s">
        <v>1240</v>
      </c>
      <c r="C291" s="288" t="s">
        <v>1510</v>
      </c>
      <c r="D291" s="288" t="s">
        <v>1483</v>
      </c>
      <c r="E291" s="254" t="s">
        <v>13632</v>
      </c>
      <c r="F291" s="338" t="s">
        <v>2090</v>
      </c>
      <c r="G291" s="291" t="s">
        <v>15532</v>
      </c>
      <c r="H291" s="288" t="s">
        <v>2091</v>
      </c>
      <c r="I291" s="288" t="s">
        <v>2092</v>
      </c>
      <c r="J291" s="288" t="s">
        <v>15596</v>
      </c>
      <c r="K291" s="291" t="s">
        <v>2093</v>
      </c>
      <c r="L291" s="300" t="s">
        <v>2094</v>
      </c>
      <c r="M291" s="288" t="s">
        <v>15083</v>
      </c>
    </row>
    <row r="292" spans="1:13" ht="41.4">
      <c r="A292" s="288" t="s">
        <v>14312</v>
      </c>
      <c r="B292" s="288" t="s">
        <v>1240</v>
      </c>
      <c r="C292" s="288" t="s">
        <v>1511</v>
      </c>
      <c r="D292" s="288" t="s">
        <v>1484</v>
      </c>
      <c r="E292" s="254" t="s">
        <v>13633</v>
      </c>
      <c r="F292" s="338" t="s">
        <v>2095</v>
      </c>
      <c r="G292" s="291" t="s">
        <v>15533</v>
      </c>
      <c r="H292" s="288" t="s">
        <v>2096</v>
      </c>
      <c r="I292" s="288" t="s">
        <v>2097</v>
      </c>
      <c r="J292" s="288" t="s">
        <v>15597</v>
      </c>
      <c r="K292" s="291" t="s">
        <v>2098</v>
      </c>
      <c r="L292" s="300" t="s">
        <v>2099</v>
      </c>
      <c r="M292" s="288" t="s">
        <v>15084</v>
      </c>
    </row>
    <row r="293" spans="1:13" ht="55.2">
      <c r="A293" s="288" t="s">
        <v>14313</v>
      </c>
      <c r="B293" s="288" t="s">
        <v>1240</v>
      </c>
      <c r="C293" s="288" t="s">
        <v>14329</v>
      </c>
      <c r="D293" s="288" t="s">
        <v>15130</v>
      </c>
      <c r="E293" s="288" t="s">
        <v>14433</v>
      </c>
      <c r="F293" s="338" t="s">
        <v>15301</v>
      </c>
      <c r="G293" s="291" t="s">
        <v>15534</v>
      </c>
      <c r="H293" s="288" t="s">
        <v>14740</v>
      </c>
      <c r="I293" s="288" t="s">
        <v>14797</v>
      </c>
      <c r="J293" s="288" t="s">
        <v>15598</v>
      </c>
      <c r="K293" s="288" t="s">
        <v>14855</v>
      </c>
      <c r="L293" s="288" t="s">
        <v>14908</v>
      </c>
      <c r="M293" s="288" t="s">
        <v>15085</v>
      </c>
    </row>
    <row r="294" spans="1:13" ht="55.2">
      <c r="A294" s="288" t="s">
        <v>14337</v>
      </c>
      <c r="B294" s="288" t="s">
        <v>1240</v>
      </c>
      <c r="C294" s="288" t="s">
        <v>1512</v>
      </c>
      <c r="D294" s="288" t="s">
        <v>15132</v>
      </c>
      <c r="E294" s="288" t="s">
        <v>14434</v>
      </c>
      <c r="F294" s="338" t="s">
        <v>15302</v>
      </c>
      <c r="G294" s="291" t="s">
        <v>15535</v>
      </c>
      <c r="H294" s="288" t="s">
        <v>14741</v>
      </c>
      <c r="I294" s="288" t="s">
        <v>14798</v>
      </c>
      <c r="J294" s="288" t="s">
        <v>15131</v>
      </c>
      <c r="K294" s="288" t="s">
        <v>14856</v>
      </c>
      <c r="L294" s="288" t="s">
        <v>14909</v>
      </c>
      <c r="M294" s="288" t="s">
        <v>15086</v>
      </c>
    </row>
    <row r="295" spans="1:13" ht="55.2">
      <c r="A295" s="288" t="s">
        <v>14314</v>
      </c>
      <c r="B295" s="288" t="s">
        <v>1240</v>
      </c>
      <c r="C295" s="288" t="s">
        <v>1513</v>
      </c>
      <c r="D295" s="288" t="s">
        <v>14277</v>
      </c>
      <c r="E295" s="254" t="s">
        <v>14278</v>
      </c>
      <c r="F295" s="338" t="s">
        <v>14279</v>
      </c>
      <c r="G295" s="291" t="s">
        <v>15536</v>
      </c>
      <c r="H295" s="288" t="s">
        <v>14280</v>
      </c>
      <c r="I295" s="288" t="s">
        <v>14281</v>
      </c>
      <c r="J295" s="288" t="s">
        <v>14282</v>
      </c>
      <c r="K295" s="291" t="s">
        <v>14283</v>
      </c>
      <c r="L295" s="300" t="s">
        <v>14284</v>
      </c>
      <c r="M295" s="288" t="s">
        <v>14285</v>
      </c>
    </row>
    <row r="296" spans="1:13" ht="82.8">
      <c r="A296" s="288" t="s">
        <v>14315</v>
      </c>
      <c r="B296" s="288" t="s">
        <v>1240</v>
      </c>
      <c r="C296" s="288" t="s">
        <v>1514</v>
      </c>
      <c r="D296" s="288" t="s">
        <v>15151</v>
      </c>
      <c r="E296" s="288" t="s">
        <v>15152</v>
      </c>
      <c r="F296" s="338" t="s">
        <v>15303</v>
      </c>
      <c r="G296" s="291" t="s">
        <v>15537</v>
      </c>
      <c r="H296" s="288" t="s">
        <v>15153</v>
      </c>
      <c r="I296" s="288" t="s">
        <v>15154</v>
      </c>
      <c r="J296" s="288" t="s">
        <v>15599</v>
      </c>
      <c r="K296" s="288" t="s">
        <v>15155</v>
      </c>
      <c r="L296" s="288" t="s">
        <v>15156</v>
      </c>
      <c r="M296" s="288" t="s">
        <v>15157</v>
      </c>
    </row>
    <row r="297" spans="1:13" ht="41.4">
      <c r="A297" s="288" t="s">
        <v>14316</v>
      </c>
      <c r="B297" s="288" t="s">
        <v>1240</v>
      </c>
      <c r="C297" s="185" t="s">
        <v>1515</v>
      </c>
      <c r="D297" s="288" t="s">
        <v>15158</v>
      </c>
      <c r="E297" s="288" t="s">
        <v>15159</v>
      </c>
      <c r="F297" s="338" t="s">
        <v>15304</v>
      </c>
      <c r="G297" s="291" t="s">
        <v>15538</v>
      </c>
      <c r="H297" s="288" t="s">
        <v>15160</v>
      </c>
      <c r="I297" s="288" t="s">
        <v>15161</v>
      </c>
      <c r="J297" s="288" t="s">
        <v>15600</v>
      </c>
      <c r="K297" s="288" t="s">
        <v>15162</v>
      </c>
      <c r="L297" s="288" t="s">
        <v>15163</v>
      </c>
      <c r="M297" s="288" t="s">
        <v>15164</v>
      </c>
    </row>
    <row r="298" spans="1:13" ht="41.4">
      <c r="A298" s="288" t="s">
        <v>14317</v>
      </c>
      <c r="B298" s="288" t="s">
        <v>1240</v>
      </c>
      <c r="C298" s="288" t="s">
        <v>14286</v>
      </c>
      <c r="D298" s="288" t="s">
        <v>15165</v>
      </c>
      <c r="E298" s="254" t="s">
        <v>15166</v>
      </c>
      <c r="F298" s="338" t="s">
        <v>15305</v>
      </c>
      <c r="G298" s="291" t="s">
        <v>15539</v>
      </c>
      <c r="H298" s="288" t="s">
        <v>15167</v>
      </c>
      <c r="I298" s="288" t="s">
        <v>15168</v>
      </c>
      <c r="J298" s="288" t="s">
        <v>15169</v>
      </c>
      <c r="K298" s="291" t="s">
        <v>15170</v>
      </c>
      <c r="L298" s="300" t="s">
        <v>15171</v>
      </c>
      <c r="M298" s="288" t="s">
        <v>15172</v>
      </c>
    </row>
    <row r="299" spans="1:13" ht="41.4">
      <c r="A299" s="288" t="s">
        <v>1240</v>
      </c>
      <c r="D299" s="288" t="s">
        <v>1485</v>
      </c>
      <c r="E299" s="254" t="s">
        <v>13634</v>
      </c>
      <c r="F299" s="338" t="s">
        <v>15306</v>
      </c>
      <c r="G299" s="291" t="s">
        <v>15540</v>
      </c>
      <c r="H299" s="288" t="s">
        <v>2100</v>
      </c>
      <c r="I299" s="288" t="s">
        <v>2101</v>
      </c>
      <c r="J299" s="288" t="s">
        <v>2102</v>
      </c>
      <c r="K299" s="291" t="s">
        <v>2103</v>
      </c>
      <c r="L299" s="300" t="s">
        <v>2104</v>
      </c>
      <c r="M299" s="288" t="s">
        <v>15087</v>
      </c>
    </row>
    <row r="300" spans="1:13" ht="41.4">
      <c r="A300" s="288" t="s">
        <v>14318</v>
      </c>
      <c r="B300" s="288" t="s">
        <v>1240</v>
      </c>
      <c r="C300" s="288" t="s">
        <v>1516</v>
      </c>
      <c r="D300" s="288" t="s">
        <v>15173</v>
      </c>
      <c r="E300" s="254" t="s">
        <v>15174</v>
      </c>
      <c r="F300" s="338" t="s">
        <v>15175</v>
      </c>
      <c r="G300" s="291" t="s">
        <v>15541</v>
      </c>
      <c r="H300" s="288" t="s">
        <v>15176</v>
      </c>
      <c r="I300" s="288" t="s">
        <v>15177</v>
      </c>
      <c r="J300" s="288" t="s">
        <v>15178</v>
      </c>
      <c r="K300" s="291" t="s">
        <v>15179</v>
      </c>
      <c r="L300" s="300" t="s">
        <v>15180</v>
      </c>
      <c r="M300" s="288" t="s">
        <v>15181</v>
      </c>
    </row>
    <row r="301" spans="1:13" ht="41.4">
      <c r="A301" s="288" t="s">
        <v>14319</v>
      </c>
      <c r="B301" s="288" t="s">
        <v>1240</v>
      </c>
      <c r="C301" s="288" t="s">
        <v>14330</v>
      </c>
      <c r="D301" s="288" t="s">
        <v>15182</v>
      </c>
      <c r="E301" s="254" t="s">
        <v>15183</v>
      </c>
      <c r="F301" s="338" t="s">
        <v>15307</v>
      </c>
      <c r="G301" s="291" t="s">
        <v>15542</v>
      </c>
      <c r="H301" s="288" t="s">
        <v>15184</v>
      </c>
      <c r="I301" s="288" t="s">
        <v>15185</v>
      </c>
      <c r="J301" s="288" t="s">
        <v>15186</v>
      </c>
      <c r="K301" s="291" t="s">
        <v>15187</v>
      </c>
      <c r="L301" s="300" t="s">
        <v>15188</v>
      </c>
      <c r="M301" s="288" t="s">
        <v>15189</v>
      </c>
    </row>
    <row r="302" spans="1:13" ht="41.4">
      <c r="A302" s="288" t="s">
        <v>14338</v>
      </c>
      <c r="B302" s="288" t="s">
        <v>1240</v>
      </c>
      <c r="C302" s="288" t="s">
        <v>1542</v>
      </c>
      <c r="D302" s="288" t="s">
        <v>15190</v>
      </c>
      <c r="E302" s="288" t="s">
        <v>15191</v>
      </c>
      <c r="F302" s="338"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8"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8"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8" t="s">
        <v>2117</v>
      </c>
      <c r="G305" s="342"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8" t="s">
        <v>2122</v>
      </c>
      <c r="G306" s="342"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8" t="s">
        <v>2127</v>
      </c>
      <c r="G307" s="342"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8" t="s">
        <v>2132</v>
      </c>
      <c r="G308" s="342"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8" t="s">
        <v>14627</v>
      </c>
      <c r="G309" s="342"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8" t="s">
        <v>14627</v>
      </c>
      <c r="G310" s="342"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8" t="s">
        <v>14627</v>
      </c>
      <c r="G311" s="342"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8" t="s">
        <v>14627</v>
      </c>
      <c r="G312" s="342"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8"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8" t="s">
        <v>14629</v>
      </c>
      <c r="G314" s="291" t="s">
        <v>563</v>
      </c>
      <c r="H314" s="288" t="s">
        <v>390</v>
      </c>
      <c r="I314" s="288" t="s">
        <v>260</v>
      </c>
      <c r="J314" s="245" t="s">
        <v>1163</v>
      </c>
      <c r="K314" s="282" t="s">
        <v>118</v>
      </c>
      <c r="L314" s="316" t="s">
        <v>74</v>
      </c>
      <c r="M314" s="245" t="s">
        <v>15096</v>
      </c>
    </row>
    <row r="315" spans="1:13">
      <c r="A315" s="288" t="str">
        <f>B315&amp;C315</f>
        <v>Product ListC5</v>
      </c>
      <c r="B315" s="288" t="s">
        <v>1300</v>
      </c>
      <c r="C315" s="288" t="s">
        <v>972</v>
      </c>
      <c r="D315" s="245" t="s">
        <v>504</v>
      </c>
      <c r="E315" s="254" t="s">
        <v>13644</v>
      </c>
      <c r="F315" s="338" t="s">
        <v>14630</v>
      </c>
      <c r="G315" s="291" t="s">
        <v>564</v>
      </c>
      <c r="H315" s="288" t="s">
        <v>391</v>
      </c>
      <c r="I315" s="288" t="s">
        <v>261</v>
      </c>
      <c r="J315" s="245" t="s">
        <v>939</v>
      </c>
      <c r="K315" s="282" t="s">
        <v>119</v>
      </c>
      <c r="L315" s="316" t="s">
        <v>75</v>
      </c>
      <c r="M315" s="245" t="s">
        <v>15097</v>
      </c>
    </row>
    <row r="316" spans="1:13">
      <c r="A316" s="288" t="str">
        <f>B316&amp;C316</f>
        <v>Product ListD5</v>
      </c>
      <c r="B316" s="288" t="s">
        <v>1300</v>
      </c>
      <c r="C316" s="288" t="s">
        <v>1301</v>
      </c>
      <c r="D316" s="245" t="s">
        <v>835</v>
      </c>
      <c r="E316" s="283" t="s">
        <v>863</v>
      </c>
      <c r="F316" s="338" t="s">
        <v>14583</v>
      </c>
      <c r="G316" s="291" t="s">
        <v>923</v>
      </c>
      <c r="H316" s="288" t="s">
        <v>924</v>
      </c>
      <c r="I316" s="288" t="s">
        <v>925</v>
      </c>
      <c r="J316" s="245" t="s">
        <v>1027</v>
      </c>
      <c r="K316" s="282" t="s">
        <v>926</v>
      </c>
      <c r="L316" s="316" t="s">
        <v>451</v>
      </c>
      <c r="M316" s="245" t="s">
        <v>15003</v>
      </c>
    </row>
    <row r="317" spans="1:13" ht="27.6">
      <c r="A317" s="288" t="str">
        <f>B317&amp;C317</f>
        <v>GeneralCpy</v>
      </c>
      <c r="B317" s="288" t="s">
        <v>486</v>
      </c>
      <c r="C317" s="288" t="s">
        <v>487</v>
      </c>
      <c r="D317" s="288" t="s">
        <v>15315</v>
      </c>
      <c r="E317" s="254" t="s">
        <v>15316</v>
      </c>
      <c r="F317" s="338"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2.8">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7.6">
      <c r="A321" s="288" t="s">
        <v>835</v>
      </c>
      <c r="D321" s="288" t="s">
        <v>305</v>
      </c>
      <c r="E321" s="254" t="s">
        <v>13645</v>
      </c>
      <c r="F321" s="288" t="s">
        <v>313</v>
      </c>
      <c r="G321" s="353" t="s">
        <v>310</v>
      </c>
      <c r="H321" s="288" t="s">
        <v>131</v>
      </c>
      <c r="I321" s="288" t="s">
        <v>262</v>
      </c>
      <c r="J321" s="288" t="s">
        <v>1357</v>
      </c>
      <c r="K321" s="291" t="s">
        <v>124</v>
      </c>
      <c r="L321" s="317" t="s">
        <v>308</v>
      </c>
      <c r="M321" s="288" t="s">
        <v>15099</v>
      </c>
    </row>
    <row r="322" spans="1:13" ht="27.6">
      <c r="A322" s="288" t="s">
        <v>835</v>
      </c>
      <c r="D322" s="288" t="s">
        <v>306</v>
      </c>
      <c r="E322" s="254" t="s">
        <v>13646</v>
      </c>
      <c r="F322" s="288" t="s">
        <v>314</v>
      </c>
      <c r="G322" s="353" t="s">
        <v>15546</v>
      </c>
      <c r="H322" s="288" t="s">
        <v>132</v>
      </c>
      <c r="I322" s="288" t="s">
        <v>263</v>
      </c>
      <c r="J322" s="288" t="s">
        <v>1373</v>
      </c>
      <c r="K322" s="291" t="s">
        <v>125</v>
      </c>
      <c r="L322" s="317" t="s">
        <v>307</v>
      </c>
      <c r="M322" s="288" t="s">
        <v>15100</v>
      </c>
    </row>
    <row r="323" spans="1:13" ht="69">
      <c r="A323" s="288" t="s">
        <v>835</v>
      </c>
      <c r="D323" s="288" t="s">
        <v>302</v>
      </c>
      <c r="E323" s="254" t="s">
        <v>14436</v>
      </c>
      <c r="F323" s="288" t="s">
        <v>14632</v>
      </c>
      <c r="G323" s="353" t="s">
        <v>311</v>
      </c>
      <c r="H323" s="288" t="s">
        <v>133</v>
      </c>
      <c r="I323" s="288" t="s">
        <v>264</v>
      </c>
      <c r="J323" s="288" t="s">
        <v>303</v>
      </c>
      <c r="K323" s="291" t="s">
        <v>14858</v>
      </c>
      <c r="L323" s="317" t="s">
        <v>304</v>
      </c>
      <c r="M323" s="288" t="s">
        <v>15101</v>
      </c>
    </row>
    <row r="324" spans="1:13" ht="27.6">
      <c r="A324" s="288" t="s">
        <v>835</v>
      </c>
      <c r="D324" s="288" t="s">
        <v>296</v>
      </c>
      <c r="E324" s="254" t="s">
        <v>13647</v>
      </c>
      <c r="F324" s="288" t="s">
        <v>315</v>
      </c>
      <c r="G324" s="353" t="s">
        <v>297</v>
      </c>
      <c r="H324" s="288" t="s">
        <v>134</v>
      </c>
      <c r="I324" s="288" t="s">
        <v>265</v>
      </c>
      <c r="J324" s="288" t="s">
        <v>1358</v>
      </c>
      <c r="K324" s="291" t="s">
        <v>128</v>
      </c>
      <c r="L324" s="317" t="s">
        <v>309</v>
      </c>
      <c r="M324" s="288" t="s">
        <v>15102</v>
      </c>
    </row>
    <row r="325" spans="1:13" ht="27.6">
      <c r="A325" s="288" t="s">
        <v>835</v>
      </c>
      <c r="D325" s="288" t="s">
        <v>298</v>
      </c>
      <c r="E325" s="254" t="s">
        <v>13648</v>
      </c>
      <c r="F325" s="288" t="s">
        <v>316</v>
      </c>
      <c r="G325" s="353" t="s">
        <v>299</v>
      </c>
      <c r="H325" s="288" t="s">
        <v>135</v>
      </c>
      <c r="I325" s="288" t="s">
        <v>266</v>
      </c>
      <c r="J325" s="288" t="s">
        <v>1359</v>
      </c>
      <c r="K325" s="291" t="s">
        <v>126</v>
      </c>
      <c r="L325" s="317" t="s">
        <v>300</v>
      </c>
      <c r="M325" s="288" t="s">
        <v>15103</v>
      </c>
    </row>
    <row r="326" spans="1:13" ht="69">
      <c r="A326" s="288" t="s">
        <v>835</v>
      </c>
      <c r="D326" s="288" t="s">
        <v>301</v>
      </c>
      <c r="E326" s="254" t="s">
        <v>13649</v>
      </c>
      <c r="F326" s="326" t="s">
        <v>15280</v>
      </c>
      <c r="G326" s="353"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Susan</cp:lastModifiedBy>
  <cp:lastPrinted>2015-04-21T20:47:43Z</cp:lastPrinted>
  <dcterms:created xsi:type="dcterms:W3CDTF">2010-06-21T21:00:23Z</dcterms:created>
  <dcterms:modified xsi:type="dcterms:W3CDTF">2021-10-25T18:18:06Z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